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</sheets>
  <externalReferences>
    <externalReference r:id="rId13"/>
    <externalReference r:id="rId14"/>
  </externalReferences>
  <definedNames>
    <definedName name="_xlnm.Print_Area" localSheetId="6">'2006'!$A$1:$S$39</definedName>
    <definedName name="_xlnm.Print_Area" localSheetId="5">'2007'!$A$3:$T$56</definedName>
    <definedName name="_xlnm.Print_Area" localSheetId="4">'2008'!$A$1:$T$73</definedName>
    <definedName name="_xlnm.Print_Area" localSheetId="2">'2010'!$A$1:$S$55</definedName>
    <definedName name="_xlnm.Print_Area" localSheetId="1">'2011'!$A$1:$S$55</definedName>
    <definedName name="_xlnm.Print_Area" localSheetId="0">'2012'!$A$1:$S$80</definedName>
  </definedNames>
  <calcPr fullCalcOnLoad="1"/>
</workbook>
</file>

<file path=xl/sharedStrings.xml><?xml version="1.0" encoding="utf-8"?>
<sst xmlns="http://schemas.openxmlformats.org/spreadsheetml/2006/main" count="716" uniqueCount="217">
  <si>
    <t>Travel Allowance / Benefit for 2003</t>
  </si>
  <si>
    <t>Depreciation</t>
  </si>
  <si>
    <t>Interest</t>
  </si>
  <si>
    <t>Rego, insurance, NRMA memb.</t>
  </si>
  <si>
    <t>Standing costs -</t>
  </si>
  <si>
    <t>Holden</t>
  </si>
  <si>
    <t>Vectra</t>
  </si>
  <si>
    <t>Running costs -</t>
  </si>
  <si>
    <t>Fuel</t>
  </si>
  <si>
    <t>Tyres</t>
  </si>
  <si>
    <t>Service / repairs</t>
  </si>
  <si>
    <t>Toyota</t>
  </si>
  <si>
    <t>Camry</t>
  </si>
  <si>
    <t>Commodore</t>
  </si>
  <si>
    <t>Ford</t>
  </si>
  <si>
    <t>Falcon</t>
  </si>
  <si>
    <t>overall motoring costs based on 15,000km per year</t>
  </si>
  <si>
    <t>Average</t>
  </si>
  <si>
    <t>Cost over</t>
  </si>
  <si>
    <t>15,000km</t>
  </si>
  <si>
    <t>Total $</t>
  </si>
  <si>
    <t>Cost per</t>
  </si>
  <si>
    <t>1,000km</t>
  </si>
  <si>
    <t>Cents per kilometre (based on data published May 2002)</t>
  </si>
  <si>
    <t>Cents per kilometre (based on data obtained Aug 2003)</t>
  </si>
  <si>
    <t>The recommendation of the Car and Insurance Fund Board, adopted by the Stipends and Allowances Committee in</t>
  </si>
  <si>
    <r>
      <t xml:space="preserve">costs from new to 3 years (assume replaced every 3 years) </t>
    </r>
    <r>
      <rPr>
        <i/>
        <sz val="10"/>
        <rFont val="Arial"/>
        <family val="2"/>
      </rPr>
      <t>which is more expensive than 5 year ownership</t>
    </r>
  </si>
  <si>
    <t>total cents per km</t>
  </si>
  <si>
    <t xml:space="preserve">private ownership (hence purchased at retail price + GST + stamp duty) </t>
  </si>
  <si>
    <t>however ministers/parishes may get purchase discounts, ITC &amp; s/duty exemption</t>
  </si>
  <si>
    <t>Travel Allowance / Benefit for 2004</t>
  </si>
  <si>
    <t>The recommendation of the Stipends and Allowances Committee (following the same principles as last year)</t>
  </si>
  <si>
    <r>
      <t xml:space="preserve">Recommended </t>
    </r>
    <r>
      <rPr>
        <b/>
        <sz val="10"/>
        <rFont val="Arial"/>
        <family val="2"/>
      </rPr>
      <t>Diocesan rate</t>
    </r>
    <r>
      <rPr>
        <sz val="10"/>
        <rFont val="Arial"/>
        <family val="0"/>
      </rPr>
      <t>, unchanged from 2002, for parishes to pay members of their</t>
    </r>
  </si>
  <si>
    <t>Rego, insurance, Club memb.</t>
  </si>
  <si>
    <r>
      <t xml:space="preserve">is based on the </t>
    </r>
    <r>
      <rPr>
        <b/>
        <sz val="10"/>
        <rFont val="Arial"/>
        <family val="2"/>
      </rPr>
      <t>published NRMA / RACT data</t>
    </r>
    <r>
      <rPr>
        <sz val="10"/>
        <rFont val="Arial"/>
        <family val="0"/>
      </rPr>
      <t xml:space="preserve"> below, and extracting data for the most expensive options -</t>
    </r>
  </si>
  <si>
    <r>
      <t xml:space="preserve">2002 is based on the </t>
    </r>
    <r>
      <rPr>
        <b/>
        <sz val="10"/>
        <rFont val="Arial"/>
        <family val="2"/>
      </rPr>
      <t>published NRMA data</t>
    </r>
    <r>
      <rPr>
        <sz val="10"/>
        <rFont val="Arial"/>
        <family val="0"/>
      </rPr>
      <t xml:space="preserve"> below, and extracting data for the most expensive options -</t>
    </r>
  </si>
  <si>
    <t>total cost per week (new to 3 years)</t>
  </si>
  <si>
    <t>total cost per week (new to 5 years)</t>
  </si>
  <si>
    <t>the following detailed data -</t>
  </si>
  <si>
    <r>
      <t xml:space="preserve">RACT (Tasmania) website </t>
    </r>
    <r>
      <rPr>
        <sz val="10"/>
        <rFont val="Arial"/>
        <family val="2"/>
      </rPr>
      <t>provides</t>
    </r>
  </si>
  <si>
    <r>
      <t>NRMA (NSW)  website</t>
    </r>
    <r>
      <rPr>
        <i/>
        <sz val="10"/>
        <rFont val="Arial"/>
        <family val="2"/>
      </rPr>
      <t xml:space="preserve"> shows</t>
    </r>
  </si>
  <si>
    <r>
      <t>ministry staff (prior to 2002</t>
    </r>
    <r>
      <rPr>
        <sz val="10"/>
        <rFont val="Arial"/>
        <family val="2"/>
      </rPr>
      <t xml:space="preserve"> this was said to ha</t>
    </r>
    <r>
      <rPr>
        <sz val="10"/>
        <rFont val="Arial"/>
        <family val="0"/>
      </rPr>
      <t>ve been discounted by 1/6th to allow for private use)</t>
    </r>
  </si>
  <si>
    <t xml:space="preserve">  Total 2003 $ cost</t>
  </si>
  <si>
    <t xml:space="preserve"> based on RACT data</t>
  </si>
  <si>
    <t xml:space="preserve">Equivalent 2002 $ cost </t>
  </si>
  <si>
    <t xml:space="preserve"> based on NRMA data</t>
  </si>
  <si>
    <t>Travel Allowance / Benefit for 2005</t>
  </si>
  <si>
    <t>The recommendation of the Stipends and Allowances Committee (following the same principles as last 2 years)</t>
  </si>
  <si>
    <r>
      <t>Aug 2003 NRMA (NSW)  website</t>
    </r>
    <r>
      <rPr>
        <i/>
        <sz val="10"/>
        <rFont val="Arial"/>
        <family val="2"/>
      </rPr>
      <t xml:space="preserve"> shows</t>
    </r>
  </si>
  <si>
    <r>
      <t>Aug 2004 NRMA (NSW)  website</t>
    </r>
    <r>
      <rPr>
        <i/>
        <sz val="10"/>
        <rFont val="Arial"/>
        <family val="2"/>
      </rPr>
      <t xml:space="preserve"> shows</t>
    </r>
  </si>
  <si>
    <t xml:space="preserve">  Total annual cost</t>
  </si>
  <si>
    <t xml:space="preserve">      over 15,000 km</t>
  </si>
  <si>
    <t>Travel Allowance / Benefit for 2006</t>
  </si>
  <si>
    <r>
      <t>Sep 2005 NRMA (NSW)  website</t>
    </r>
    <r>
      <rPr>
        <i/>
        <sz val="10"/>
        <rFont val="Arial"/>
        <family val="2"/>
      </rPr>
      <t xml:space="preserve"> shows</t>
    </r>
  </si>
  <si>
    <t>Diocesan rate -</t>
  </si>
  <si>
    <t>Travel Allowance / Benefit for 2007</t>
  </si>
  <si>
    <t>Mitsubishi</t>
  </si>
  <si>
    <t>Magna</t>
  </si>
  <si>
    <t>Cents per kilometre (based on data obtained July 2006)</t>
  </si>
  <si>
    <t xml:space="preserve">Private ownership (hence purchased at retail price + GST + stamp duty) </t>
  </si>
  <si>
    <t>Costs from new to 5 years (assume replaced every 5 years)</t>
  </si>
  <si>
    <t>Overall motoring costs based on 15,000km per year</t>
  </si>
  <si>
    <t>Assumptions</t>
  </si>
  <si>
    <t>The recommendation of the Stipends and Allowances Committee is based on the</t>
  </si>
  <si>
    <t>(Km per week = 288.46)</t>
  </si>
  <si>
    <t xml:space="preserve"> </t>
  </si>
  <si>
    <t>Fixed</t>
  </si>
  <si>
    <t>Variable</t>
  </si>
  <si>
    <t>Locum</t>
  </si>
  <si>
    <t>Allowance</t>
  </si>
  <si>
    <t>per 1,000k</t>
  </si>
  <si>
    <t>RACV (Victoria) website</t>
  </si>
  <si>
    <t>Holding costs</t>
  </si>
  <si>
    <t>NRMA (NSW) website</t>
  </si>
  <si>
    <t>NRMA Total Average Cost per Week - 2006</t>
  </si>
  <si>
    <t>RACV Total Average Cost per Week - 2006</t>
  </si>
  <si>
    <t>Diocesan Travel Remuneration - based on 15,000km per year</t>
  </si>
  <si>
    <t>AVERAGE OF RACV and NRMA OPERATING COSTS 2006</t>
  </si>
  <si>
    <t>Total Average Cost Per Week - 2006</t>
  </si>
  <si>
    <t>Total cents per km - 2006</t>
  </si>
  <si>
    <t>NRMA Total cents per km - 2006</t>
  </si>
  <si>
    <t>RACV Total cents per km - 2006</t>
  </si>
  <si>
    <t>Total Average Annual Cost - 2006</t>
  </si>
  <si>
    <t>RACT</t>
  </si>
  <si>
    <t>Av Weekly</t>
  </si>
  <si>
    <t>Av Annual</t>
  </si>
  <si>
    <t>Prior Years</t>
  </si>
  <si>
    <r>
      <t>published NRMA / RACV data</t>
    </r>
    <r>
      <rPr>
        <sz val="12"/>
        <rFont val="Arial"/>
        <family val="2"/>
      </rPr>
      <t xml:space="preserve"> below, and extracting data for the most common large Australian cars.</t>
    </r>
  </si>
  <si>
    <t>2006 Average</t>
  </si>
  <si>
    <t>2005 Average</t>
  </si>
  <si>
    <t>REMUNERATION GUIDELINES 2007</t>
  </si>
  <si>
    <t>Cents per kilometre (based on data obtained August 2006)</t>
  </si>
  <si>
    <t>NRMA NOTE IN THEIR 2006 OPERATING COST REPORT THAT SINCE</t>
  </si>
  <si>
    <t>JUNE 2005 FUEL PRICES HAVE INCREASED BY 27.3% TO JUNE 2006.</t>
  </si>
  <si>
    <t>FOR A LARGE CAR OWNER THIS MEANS AN AVERAGE WEEKLY</t>
  </si>
  <si>
    <t>INCREASE OF $11.18 OR $581.36 PER ANNUM IN FUEL COSTS.</t>
  </si>
  <si>
    <t>All Running Costs per week</t>
  </si>
  <si>
    <t xml:space="preserve">NRMA USED AN AVERAGE COST OF $1.375 PER LITRE IN 2006 AS </t>
  </si>
  <si>
    <t>COMPARED TO AN AVERAGE OF $1.08 PER LITRE IN 2005.</t>
  </si>
  <si>
    <t>DIOCESAN TRAVEL REMUNERATION - PERCENTAGE INCREASE</t>
  </si>
  <si>
    <t>% INCREASE</t>
  </si>
  <si>
    <t>REMUNERATION</t>
  </si>
  <si>
    <t>ANNUAL</t>
  </si>
  <si>
    <t>Current Year</t>
  </si>
  <si>
    <t>(11.14% increase)</t>
  </si>
  <si>
    <t xml:space="preserve">Holden </t>
  </si>
  <si>
    <t>Diocese</t>
  </si>
  <si>
    <t>Holding costs pa (15,000km)</t>
  </si>
  <si>
    <t>Running costs pa (15,000km)</t>
  </si>
  <si>
    <t>RACV</t>
  </si>
  <si>
    <t>Aurion</t>
  </si>
  <si>
    <t>Total</t>
  </si>
  <si>
    <t>RACV Total cents per km - 2007</t>
  </si>
  <si>
    <t>RACV Total Average Cost per Week - 2007</t>
  </si>
  <si>
    <t>AVERAGE OF RACV and NRMA OPERATING COSTS 2007</t>
  </si>
  <si>
    <t>NRMA Total cents per km - 2007</t>
  </si>
  <si>
    <t>NRMA Total Average Cost per Week - 2007</t>
  </si>
  <si>
    <t>2007 Average</t>
  </si>
  <si>
    <t>Total cents per km - 2007</t>
  </si>
  <si>
    <t>Total Average Cost Per Week - 2007</t>
  </si>
  <si>
    <t>Total Average Annual Cost - 2007</t>
  </si>
  <si>
    <t>COMPARED TO AN AVERAGE OF $1.375 PER LITRE IN 2006.</t>
  </si>
  <si>
    <t xml:space="preserve">NRMA USED AN AVERAGE COST OF $1.2580 (ULP) PER LITRE IN 2007 AS </t>
  </si>
  <si>
    <t xml:space="preserve">DEPRECIATION APPEARS TO BE THE BIGGEST CONTRIBUTOR </t>
  </si>
  <si>
    <t>TO THE INCREASE OVER 2006 AND TO A LESSER EXTENT THE</t>
  </si>
  <si>
    <t>COST OF FINANCE.</t>
  </si>
  <si>
    <t xml:space="preserve">THE NRMA MEDIA RELEASE ON THE 2007 OPERATING COSTS REPORT </t>
  </si>
  <si>
    <t>STATES THAT THE AVERAGE WEEKLY COST OF THE VEHICLES USED IN THIS</t>
  </si>
  <si>
    <t>ANALYSIS ABOVE HAVE INCREASED BY $73.28 PER WEEK SINCE 2002.</t>
  </si>
  <si>
    <t>THE DIOCESAN FIXED RATE HAS NOT CHANGED OVER THE SAME PERIOD.</t>
  </si>
  <si>
    <t>REMUNERATION GUIDELINES 2009</t>
  </si>
  <si>
    <t>Travel Allowance / Benefit for 2009</t>
  </si>
  <si>
    <t>Cents per kilometre (based on data obtained July 2008)</t>
  </si>
  <si>
    <t>2008 Average</t>
  </si>
  <si>
    <t>REMUNERATION GUIDELINES 2008</t>
  </si>
  <si>
    <t>Travel Allowance / Benefit for 2008</t>
  </si>
  <si>
    <t>Cents per kilometre (based on data obtained July 2007)</t>
  </si>
  <si>
    <t>NRMA Total cents per km - 2008</t>
  </si>
  <si>
    <t>NRMA Total Average Cost per Week - 2008</t>
  </si>
  <si>
    <t>AVERAGE OF RACV and NRMA OPERATING COSTS 2008</t>
  </si>
  <si>
    <t>Total cents per km - 2008</t>
  </si>
  <si>
    <t>Total Average Cost Per Week - 2008</t>
  </si>
  <si>
    <t>Total Average Annual Cost - 2008</t>
  </si>
  <si>
    <t>RACV Total cents per km - 2008</t>
  </si>
  <si>
    <t>RACV Total Average Cost per Week - 2008</t>
  </si>
  <si>
    <r>
      <t>2006 NRMA (NSW)  website</t>
    </r>
    <r>
      <rPr>
        <i/>
        <sz val="10"/>
        <rFont val="Arial"/>
        <family val="2"/>
      </rPr>
      <t xml:space="preserve"> shows</t>
    </r>
  </si>
  <si>
    <t>* Magna costs not available - estimate made based on other car cost increases.</t>
  </si>
  <si>
    <t>Toyota Aurion AT-X</t>
  </si>
  <si>
    <t>Holden Commodore Omega</t>
  </si>
  <si>
    <t>Ford Falcon XT</t>
  </si>
  <si>
    <t>MitsubishiMagna 380</t>
  </si>
  <si>
    <t xml:space="preserve">NRMA USED AN AVERAGE COST OF $1.xxxx (ULP) PER LITRE IN 2008 AS </t>
  </si>
  <si>
    <t>COMPARED TO AN AVERAGE OF $1.2580 IN 2007 (2006 - $1.375).</t>
  </si>
  <si>
    <t>Cents per kilometre (based on data obtained August 2008)</t>
  </si>
  <si>
    <t>RACV percentage increase</t>
  </si>
  <si>
    <t>NRMA percentage increase</t>
  </si>
  <si>
    <t>estimate</t>
  </si>
  <si>
    <t>Increase 2006 to 2008</t>
  </si>
  <si>
    <t>Increase 2007 to 2008</t>
  </si>
  <si>
    <t>MitsubishiMagna 380*</t>
  </si>
  <si>
    <t>Diocesan rate percentage increase</t>
  </si>
  <si>
    <t>All Running Costs per week (applied 4% on 2007 costs)</t>
  </si>
  <si>
    <t>RACQ</t>
  </si>
  <si>
    <t>FIGURES NOT AVAILABLE AT TIME OF GUIDELINES APPROVAL</t>
  </si>
  <si>
    <t>REMUNERATION GUIDELINES 2010</t>
  </si>
  <si>
    <t>Travel Allowance / Benefit for 2010</t>
  </si>
  <si>
    <t>RACV Total cents per km - 2009</t>
  </si>
  <si>
    <t>RACV Total Average Cost per Week - 2009</t>
  </si>
  <si>
    <t>NRMA Total cents per km - 2009</t>
  </si>
  <si>
    <t>NRMA Total Average Cost per Week - 2009</t>
  </si>
  <si>
    <t>2009 Average</t>
  </si>
  <si>
    <t>AVERAGE OF RACV and NRMA OPERATING COSTS 2009</t>
  </si>
  <si>
    <t>Total cents per km - 2009</t>
  </si>
  <si>
    <t>Total Average Cost Per Week - 2009</t>
  </si>
  <si>
    <t>Total Average Annual Cost - 2009</t>
  </si>
  <si>
    <t>RACV (Victoria) website - May 2009</t>
  </si>
  <si>
    <t>NRMA (NSW) website - 2008-2009 Operating Costs</t>
  </si>
  <si>
    <t>Cents per kilometre (based on data obtained July 2009)</t>
  </si>
  <si>
    <t>Average fuel cost (Sydney) - est.  $1.25c</t>
  </si>
  <si>
    <t>Average fuel cost (Melbourne) - $1.17c</t>
  </si>
  <si>
    <t>Kia Carnival EX VQ</t>
  </si>
  <si>
    <t>REMUNERATION GUIDELINES 2011</t>
  </si>
  <si>
    <t>Travel Allowance / Benefit for 2011</t>
  </si>
  <si>
    <t>RACV Total cents per km - 2010</t>
  </si>
  <si>
    <t>RACV Total Average Cost per Week - 2010</t>
  </si>
  <si>
    <t>NRMA Total cents per km - 2010</t>
  </si>
  <si>
    <t>NRMA Total Average Cost per Week - 2010</t>
  </si>
  <si>
    <t>AVERAGE OF RACV and NRMA OPERATING COSTS 2010</t>
  </si>
  <si>
    <t>Total cents per km - 2010</t>
  </si>
  <si>
    <t>Total Average Cost Per Week - 2010</t>
  </si>
  <si>
    <t>Total Average Annual Cost - 2010</t>
  </si>
  <si>
    <t>2010 Average</t>
  </si>
  <si>
    <t>Average fuel cost (Sydney) - est.  $1.2275c / litre</t>
  </si>
  <si>
    <t>Average fuel cost (Melbourne) - $1.249c / litre</t>
  </si>
  <si>
    <t>Holden Commodore International</t>
  </si>
  <si>
    <t>Cents per kilometre (based on data obtained January 2010)</t>
  </si>
  <si>
    <t>Cents per kilometre (based on data obtained June 2010)</t>
  </si>
  <si>
    <t>RACV (Victoria) website - June 2010</t>
  </si>
  <si>
    <t>NRMA (NSW) website - January 2010</t>
  </si>
  <si>
    <t>2011 Average</t>
  </si>
  <si>
    <t>Total Average Annual Cost - 2011</t>
  </si>
  <si>
    <t>RACV (Victoria) website - June 2011</t>
  </si>
  <si>
    <t>Cents per kilometre (based on data obtained June 2011)</t>
  </si>
  <si>
    <t>RACV Total cents per km - 2011</t>
  </si>
  <si>
    <t>RACV Total Average Cost per Week - 2011</t>
  </si>
  <si>
    <t>Cents per kilometre (based on data obtained January 2011)</t>
  </si>
  <si>
    <t>NRMA Total cents per km - 2011</t>
  </si>
  <si>
    <t>NRMA Total Average Cost per Week - 2011</t>
  </si>
  <si>
    <t>AVERAGE OF RACV and NRMA OPERATING COSTS 2011</t>
  </si>
  <si>
    <t>Total cents per km - 2011</t>
  </si>
  <si>
    <t>Total Average Cost Per Week - 2011</t>
  </si>
  <si>
    <t>Average fuel cost (Melbourne) - $1.342c / litre</t>
  </si>
  <si>
    <t>Average fuel cost (Sydney) - est.  $1.467c / litre</t>
  </si>
  <si>
    <t>Kia Grand Carnival 3.5L</t>
  </si>
  <si>
    <t>NRMA (NSW) website - May 2011</t>
  </si>
  <si>
    <t>REMUNERATION GUIDELINES 2012</t>
  </si>
  <si>
    <t>Travel Allowance / Benefit for 2012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</si>
</sst>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0.0%"/>
    <numFmt numFmtId="171" formatCode="_-&quot;$&quot;* #,##0.000_-;\-&quot;$&quot;* #,##0.000_-;_-&quot;$&quot;* &quot;-&quot;??_-;_-@_-"/>
    <numFmt numFmtId="172" formatCode="&quot;$&quot;#,##0"/>
    <numFmt numFmtId="173" formatCode="&quot;$&quot;#,##0.0"/>
    <numFmt numFmtId="174" formatCode="&quot;$&quot;#,##0.00"/>
    <numFmt numFmtId="175" formatCode="_-&quot;$&quot;* #,##0.0000_-;\-&quot;$&quot;* #,##0.0000_-;_-&quot;$&quot;* &quot;-&quot;??_-;_-@_-"/>
    <numFmt numFmtId="176" formatCode="_-* #,##0.0000_-;\-* #,##0.0000_-;_-* &quot;-&quot;????_-;_-@_-"/>
    <numFmt numFmtId="177" formatCode="0.0000"/>
    <numFmt numFmtId="178" formatCode="_-* #,##0.000_-;\-* #,##0.000_-;_-* &quot;-&quot;???_-;_-@_-"/>
    <numFmt numFmtId="179" formatCode="0.000%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66" fontId="1" fillId="0" borderId="15" xfId="44" applyNumberFormat="1" applyFont="1" applyBorder="1" applyAlignment="1">
      <alignment/>
    </xf>
    <xf numFmtId="166" fontId="1" fillId="0" borderId="14" xfId="44" applyNumberFormat="1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1" fillId="0" borderId="19" xfId="44" applyNumberFormat="1" applyFont="1" applyBorder="1" applyAlignment="1">
      <alignment/>
    </xf>
    <xf numFmtId="44" fontId="1" fillId="0" borderId="20" xfId="44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14" xfId="0" applyNumberFormat="1" applyBorder="1" applyAlignment="1">
      <alignment/>
    </xf>
    <xf numFmtId="2" fontId="7" fillId="0" borderId="0" xfId="0" applyNumberFormat="1" applyFont="1" applyAlignment="1">
      <alignment/>
    </xf>
    <xf numFmtId="44" fontId="7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44" applyNumberFormat="1" applyFont="1" applyBorder="1" applyAlignment="1">
      <alignment/>
    </xf>
    <xf numFmtId="166" fontId="0" fillId="0" borderId="14" xfId="44" applyNumberFormat="1" applyFont="1" applyBorder="1" applyAlignment="1">
      <alignment/>
    </xf>
    <xf numFmtId="44" fontId="0" fillId="0" borderId="14" xfId="44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6" fontId="0" fillId="33" borderId="0" xfId="44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70" fontId="0" fillId="33" borderId="0" xfId="57" applyNumberFormat="1" applyFont="1" applyFill="1" applyAlignment="1">
      <alignment/>
    </xf>
    <xf numFmtId="0" fontId="0" fillId="0" borderId="0" xfId="0" applyFill="1" applyAlignment="1">
      <alignment/>
    </xf>
    <xf numFmtId="166" fontId="1" fillId="0" borderId="11" xfId="44" applyNumberFormat="1" applyFont="1" applyBorder="1" applyAlignment="1">
      <alignment/>
    </xf>
    <xf numFmtId="44" fontId="1" fillId="0" borderId="12" xfId="44" applyNumberFormat="1" applyFont="1" applyBorder="1" applyAlignment="1">
      <alignment/>
    </xf>
    <xf numFmtId="166" fontId="1" fillId="0" borderId="16" xfId="44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6" fontId="1" fillId="33" borderId="16" xfId="44" applyNumberFormat="1" applyFont="1" applyFill="1" applyBorder="1" applyAlignment="1">
      <alignment/>
    </xf>
    <xf numFmtId="166" fontId="1" fillId="33" borderId="11" xfId="44" applyNumberFormat="1" applyFont="1" applyFill="1" applyBorder="1" applyAlignment="1">
      <alignment/>
    </xf>
    <xf numFmtId="44" fontId="1" fillId="33" borderId="12" xfId="44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166" fontId="0" fillId="34" borderId="0" xfId="44" applyNumberForma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6" fillId="33" borderId="19" xfId="0" applyFont="1" applyFill="1" applyBorder="1" applyAlignment="1">
      <alignment/>
    </xf>
    <xf numFmtId="166" fontId="0" fillId="34" borderId="0" xfId="44" applyNumberFormat="1" applyFill="1" applyBorder="1" applyAlignment="1">
      <alignment/>
    </xf>
    <xf numFmtId="0" fontId="7" fillId="34" borderId="19" xfId="0" applyFont="1" applyFill="1" applyBorder="1" applyAlignment="1">
      <alignment/>
    </xf>
    <xf numFmtId="44" fontId="7" fillId="34" borderId="0" xfId="44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170" fontId="0" fillId="34" borderId="0" xfId="57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6" fontId="0" fillId="34" borderId="0" xfId="44" applyNumberFormat="1" applyFont="1" applyFill="1" applyBorder="1" applyAlignment="1">
      <alignment/>
    </xf>
    <xf numFmtId="44" fontId="1" fillId="34" borderId="0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28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2" fontId="7" fillId="34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9" fillId="34" borderId="28" xfId="0" applyFont="1" applyFill="1" applyBorder="1" applyAlignment="1">
      <alignment/>
    </xf>
    <xf numFmtId="2" fontId="0" fillId="34" borderId="15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9" xfId="0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166" fontId="1" fillId="36" borderId="16" xfId="44" applyNumberFormat="1" applyFont="1" applyFill="1" applyBorder="1" applyAlignment="1">
      <alignment/>
    </xf>
    <xf numFmtId="44" fontId="1" fillId="36" borderId="16" xfId="44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43" fontId="0" fillId="36" borderId="28" xfId="42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1" fillId="37" borderId="26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left"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166" fontId="1" fillId="38" borderId="16" xfId="44" applyNumberFormat="1" applyFont="1" applyFill="1" applyBorder="1" applyAlignment="1">
      <alignment/>
    </xf>
    <xf numFmtId="2" fontId="1" fillId="38" borderId="16" xfId="0" applyNumberFormat="1" applyFont="1" applyFill="1" applyBorder="1" applyAlignment="1">
      <alignment/>
    </xf>
    <xf numFmtId="44" fontId="1" fillId="35" borderId="16" xfId="44" applyNumberFormat="1" applyFont="1" applyFill="1" applyBorder="1" applyAlignment="1">
      <alignment/>
    </xf>
    <xf numFmtId="2" fontId="9" fillId="39" borderId="0" xfId="0" applyNumberFormat="1" applyFont="1" applyFill="1" applyBorder="1" applyAlignment="1">
      <alignment/>
    </xf>
    <xf numFmtId="166" fontId="1" fillId="40" borderId="16" xfId="44" applyNumberFormat="1" applyFont="1" applyFill="1" applyBorder="1" applyAlignment="1">
      <alignment/>
    </xf>
    <xf numFmtId="2" fontId="1" fillId="40" borderId="16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41" borderId="28" xfId="0" applyFont="1" applyFill="1" applyBorder="1" applyAlignment="1">
      <alignment/>
    </xf>
    <xf numFmtId="0" fontId="0" fillId="41" borderId="0" xfId="0" applyFill="1" applyBorder="1" applyAlignment="1">
      <alignment/>
    </xf>
    <xf numFmtId="166" fontId="9" fillId="41" borderId="0" xfId="44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66" fontId="1" fillId="33" borderId="0" xfId="44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0" fillId="37" borderId="31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166" fontId="9" fillId="39" borderId="0" xfId="44" applyNumberFormat="1" applyFont="1" applyFill="1" applyBorder="1" applyAlignment="1">
      <alignment/>
    </xf>
    <xf numFmtId="0" fontId="0" fillId="34" borderId="0" xfId="0" applyFill="1" applyAlignment="1">
      <alignment horizontal="left"/>
    </xf>
    <xf numFmtId="0" fontId="13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44" fontId="0" fillId="34" borderId="0" xfId="44" applyNumberForma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44" fontId="1" fillId="33" borderId="0" xfId="44" applyFont="1" applyFill="1" applyBorder="1" applyAlignment="1">
      <alignment/>
    </xf>
    <xf numFmtId="166" fontId="9" fillId="33" borderId="0" xfId="44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9" fillId="42" borderId="28" xfId="0" applyFont="1" applyFill="1" applyBorder="1" applyAlignment="1">
      <alignment/>
    </xf>
    <xf numFmtId="2" fontId="0" fillId="34" borderId="14" xfId="0" applyNumberFormat="1" applyFill="1" applyBorder="1" applyAlignment="1">
      <alignment horizontal="center"/>
    </xf>
    <xf numFmtId="2" fontId="1" fillId="40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44" fontId="1" fillId="39" borderId="0" xfId="44" applyFont="1" applyFill="1" applyBorder="1" applyAlignment="1">
      <alignment/>
    </xf>
    <xf numFmtId="0" fontId="16" fillId="34" borderId="0" xfId="0" applyFont="1" applyFill="1" applyAlignment="1">
      <alignment/>
    </xf>
    <xf numFmtId="0" fontId="1" fillId="37" borderId="28" xfId="0" applyFont="1" applyFill="1" applyBorder="1" applyAlignment="1">
      <alignment/>
    </xf>
    <xf numFmtId="44" fontId="1" fillId="36" borderId="0" xfId="44" applyNumberFormat="1" applyFont="1" applyFill="1" applyBorder="1" applyAlignment="1">
      <alignment/>
    </xf>
    <xf numFmtId="44" fontId="1" fillId="37" borderId="0" xfId="44" applyNumberFormat="1" applyFont="1" applyFill="1" applyBorder="1" applyAlignment="1">
      <alignment/>
    </xf>
    <xf numFmtId="0" fontId="0" fillId="40" borderId="28" xfId="0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" fillId="40" borderId="0" xfId="0" applyFont="1" applyFill="1" applyBorder="1" applyAlignment="1">
      <alignment horizontal="center"/>
    </xf>
    <xf numFmtId="0" fontId="0" fillId="40" borderId="29" xfId="0" applyFill="1" applyBorder="1" applyAlignment="1">
      <alignment/>
    </xf>
    <xf numFmtId="0" fontId="1" fillId="40" borderId="28" xfId="0" applyFont="1" applyFill="1" applyBorder="1" applyAlignment="1">
      <alignment/>
    </xf>
    <xf numFmtId="10" fontId="9" fillId="40" borderId="0" xfId="57" applyNumberFormat="1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32" xfId="0" applyFill="1" applyBorder="1" applyAlignment="1">
      <alignment/>
    </xf>
    <xf numFmtId="172" fontId="0" fillId="40" borderId="0" xfId="0" applyNumberFormat="1" applyFill="1" applyBorder="1" applyAlignment="1">
      <alignment/>
    </xf>
    <xf numFmtId="172" fontId="0" fillId="40" borderId="0" xfId="0" applyNumberFormat="1" applyFill="1" applyAlignment="1">
      <alignment/>
    </xf>
    <xf numFmtId="166" fontId="9" fillId="43" borderId="0" xfId="44" applyNumberFormat="1" applyFont="1" applyFill="1" applyBorder="1" applyAlignment="1">
      <alignment/>
    </xf>
    <xf numFmtId="166" fontId="5" fillId="37" borderId="31" xfId="0" applyNumberFormat="1" applyFont="1" applyFill="1" applyBorder="1" applyAlignment="1">
      <alignment horizontal="center"/>
    </xf>
    <xf numFmtId="166" fontId="0" fillId="36" borderId="0" xfId="0" applyNumberFormat="1" applyFill="1" applyBorder="1" applyAlignment="1">
      <alignment/>
    </xf>
    <xf numFmtId="166" fontId="1" fillId="36" borderId="0" xfId="44" applyNumberFormat="1" applyFont="1" applyFill="1" applyBorder="1" applyAlignment="1">
      <alignment/>
    </xf>
    <xf numFmtId="166" fontId="1" fillId="36" borderId="0" xfId="0" applyNumberFormat="1" applyFont="1" applyFill="1" applyBorder="1" applyAlignment="1">
      <alignment/>
    </xf>
    <xf numFmtId="174" fontId="0" fillId="40" borderId="0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43" fontId="0" fillId="40" borderId="0" xfId="42" applyFont="1" applyFill="1" applyAlignment="1">
      <alignment horizontal="left"/>
    </xf>
    <xf numFmtId="43" fontId="0" fillId="38" borderId="0" xfId="42" applyFont="1" applyFill="1" applyAlignment="1">
      <alignment horizontal="left"/>
    </xf>
    <xf numFmtId="43" fontId="1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5" fontId="1" fillId="34" borderId="0" xfId="44" applyNumberFormat="1" applyFont="1" applyFill="1" applyBorder="1" applyAlignment="1">
      <alignment/>
    </xf>
    <xf numFmtId="175" fontId="1" fillId="33" borderId="0" xfId="44" applyNumberFormat="1" applyFont="1" applyFill="1" applyBorder="1" applyAlignment="1">
      <alignment/>
    </xf>
    <xf numFmtId="43" fontId="0" fillId="36" borderId="28" xfId="42" applyFont="1" applyFill="1" applyBorder="1" applyAlignment="1">
      <alignment/>
    </xf>
    <xf numFmtId="44" fontId="1" fillId="34" borderId="0" xfId="0" applyNumberFormat="1" applyFont="1" applyFill="1" applyBorder="1" applyAlignment="1">
      <alignment/>
    </xf>
    <xf numFmtId="166" fontId="1" fillId="34" borderId="0" xfId="44" applyNumberFormat="1" applyFont="1" applyFill="1" applyBorder="1" applyAlignment="1">
      <alignment/>
    </xf>
    <xf numFmtId="44" fontId="0" fillId="34" borderId="0" xfId="0" applyNumberFormat="1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7" fillId="38" borderId="19" xfId="0" applyFont="1" applyFill="1" applyBorder="1" applyAlignment="1">
      <alignment/>
    </xf>
    <xf numFmtId="44" fontId="7" fillId="38" borderId="0" xfId="44" applyFont="1" applyFill="1" applyBorder="1" applyAlignment="1">
      <alignment/>
    </xf>
    <xf numFmtId="44" fontId="1" fillId="38" borderId="0" xfId="0" applyNumberFormat="1" applyFont="1" applyFill="1" applyBorder="1" applyAlignment="1">
      <alignment/>
    </xf>
    <xf numFmtId="166" fontId="1" fillId="38" borderId="0" xfId="44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175" fontId="1" fillId="35" borderId="0" xfId="44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10" fontId="1" fillId="34" borderId="0" xfId="57" applyNumberFormat="1" applyFont="1" applyFill="1" applyAlignment="1">
      <alignment/>
    </xf>
    <xf numFmtId="10" fontId="0" fillId="34" borderId="0" xfId="57" applyNumberFormat="1" applyFont="1" applyFill="1" applyAlignment="1">
      <alignment/>
    </xf>
    <xf numFmtId="0" fontId="0" fillId="34" borderId="0" xfId="0" applyFill="1" applyAlignment="1">
      <alignment horizontal="right"/>
    </xf>
    <xf numFmtId="43" fontId="0" fillId="34" borderId="0" xfId="0" applyNumberFormat="1" applyFill="1" applyAlignment="1">
      <alignment/>
    </xf>
    <xf numFmtId="43" fontId="0" fillId="34" borderId="0" xfId="42" applyFont="1" applyFill="1" applyAlignment="1">
      <alignment/>
    </xf>
    <xf numFmtId="169" fontId="0" fillId="34" borderId="0" xfId="42" applyNumberFormat="1" applyFont="1" applyFill="1" applyAlignment="1">
      <alignment/>
    </xf>
    <xf numFmtId="0" fontId="0" fillId="40" borderId="0" xfId="0" applyFill="1" applyBorder="1" applyAlignment="1">
      <alignment/>
    </xf>
    <xf numFmtId="172" fontId="0" fillId="40" borderId="0" xfId="0" applyNumberFormat="1" applyFill="1" applyBorder="1" applyAlignment="1">
      <alignment/>
    </xf>
    <xf numFmtId="43" fontId="0" fillId="37" borderId="31" xfId="0" applyNumberFormat="1" applyFill="1" applyBorder="1" applyAlignment="1">
      <alignment/>
    </xf>
    <xf numFmtId="172" fontId="1" fillId="40" borderId="10" xfId="0" applyNumberFormat="1" applyFont="1" applyFill="1" applyBorder="1" applyAlignment="1">
      <alignment/>
    </xf>
    <xf numFmtId="172" fontId="1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34" borderId="0" xfId="0" applyNumberFormat="1" applyFill="1" applyBorder="1" applyAlignment="1">
      <alignment/>
    </xf>
    <xf numFmtId="179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169" fontId="0" fillId="34" borderId="0" xfId="42" applyNumberFormat="1" applyFill="1" applyAlignment="1">
      <alignment/>
    </xf>
    <xf numFmtId="43" fontId="0" fillId="34" borderId="0" xfId="42" applyFill="1" applyAlignment="1">
      <alignment/>
    </xf>
    <xf numFmtId="0" fontId="0" fillId="36" borderId="0" xfId="0" applyFill="1" applyAlignment="1">
      <alignment/>
    </xf>
    <xf numFmtId="0" fontId="1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43" fontId="0" fillId="34" borderId="0" xfId="42" applyFont="1" applyFill="1" applyBorder="1" applyAlignment="1">
      <alignment horizontal="left"/>
    </xf>
    <xf numFmtId="43" fontId="1" fillId="34" borderId="0" xfId="0" applyNumberFormat="1" applyFont="1" applyFill="1" applyBorder="1" applyAlignment="1">
      <alignment/>
    </xf>
    <xf numFmtId="2" fontId="1" fillId="44" borderId="16" xfId="0" applyNumberFormat="1" applyFont="1" applyFill="1" applyBorder="1" applyAlignment="1">
      <alignment/>
    </xf>
    <xf numFmtId="2" fontId="1" fillId="45" borderId="16" xfId="0" applyNumberFormat="1" applyFont="1" applyFill="1" applyBorder="1" applyAlignment="1">
      <alignment/>
    </xf>
    <xf numFmtId="174" fontId="16" fillId="34" borderId="0" xfId="0" applyNumberFormat="1" applyFont="1" applyFill="1" applyAlignment="1">
      <alignment/>
    </xf>
    <xf numFmtId="174" fontId="0" fillId="34" borderId="0" xfId="0" applyNumberFormat="1" applyFill="1" applyAlignment="1">
      <alignment/>
    </xf>
    <xf numFmtId="9" fontId="5" fillId="37" borderId="31" xfId="57" applyFont="1" applyFill="1" applyBorder="1" applyAlignment="1">
      <alignment horizontal="center"/>
    </xf>
    <xf numFmtId="44" fontId="0" fillId="34" borderId="0" xfId="0" applyNumberFormat="1" applyFill="1" applyAlignment="1">
      <alignment/>
    </xf>
    <xf numFmtId="0" fontId="9" fillId="37" borderId="28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clergy%20services\Stipends%20&amp;%20Allowances%20Committee\2007%20Guidelines\Travel%20allow%20calc%20-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clergy%20services\Stipends%20&amp;%20Allowances%20Committee\2008\2009%20Guidelines\Travel%20allow%20calc%20-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6"/>
      <sheetName val="2005"/>
      <sheetName val="2004"/>
      <sheetName val="2003"/>
    </sheetNames>
    <sheetDataSet>
      <sheetData sheetId="1">
        <row r="14">
          <cell r="I14">
            <v>38.2675</v>
          </cell>
        </row>
        <row r="15">
          <cell r="I15">
            <v>6.565</v>
          </cell>
        </row>
        <row r="16">
          <cell r="I16">
            <v>7.125</v>
          </cell>
        </row>
        <row r="19">
          <cell r="I19">
            <v>11.110000000000001</v>
          </cell>
        </row>
        <row r="20">
          <cell r="I20">
            <v>1.6675</v>
          </cell>
        </row>
        <row r="21">
          <cell r="I21">
            <v>2.6025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08"/>
      <sheetName val="2007"/>
      <sheetName val="2006"/>
      <sheetName val="2005"/>
      <sheetName val="2004"/>
      <sheetName val="2003"/>
    </sheetNames>
    <sheetDataSet>
      <sheetData sheetId="1">
        <row r="18">
          <cell r="E18">
            <v>51.605075227067886</v>
          </cell>
        </row>
        <row r="21">
          <cell r="I21">
            <v>58.115345411264414</v>
          </cell>
        </row>
        <row r="23">
          <cell r="E23">
            <v>17.88</v>
          </cell>
        </row>
        <row r="26">
          <cell r="I26">
            <v>18.205</v>
          </cell>
        </row>
        <row r="30">
          <cell r="I30">
            <v>220.1548425324935</v>
          </cell>
        </row>
        <row r="43">
          <cell r="I43">
            <v>220.06730769230765</v>
          </cell>
        </row>
      </sheetData>
      <sheetData sheetId="2">
        <row r="21">
          <cell r="I21">
            <v>54.26037765143636</v>
          </cell>
        </row>
        <row r="26">
          <cell r="I26">
            <v>17.8725</v>
          </cell>
        </row>
        <row r="30">
          <cell r="I30">
            <v>208.07560860991256</v>
          </cell>
        </row>
        <row r="43">
          <cell r="I43">
            <v>212.91346153846152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6.28125" style="80" customWidth="1"/>
    <col min="2" max="2" width="9.28125" style="80" bestFit="1" customWidth="1"/>
    <col min="3" max="3" width="11.421875" style="80" bestFit="1" customWidth="1"/>
    <col min="4" max="4" width="11.00390625" style="80" customWidth="1"/>
    <col min="5" max="5" width="13.00390625" style="80" bestFit="1" customWidth="1"/>
    <col min="6" max="6" width="13.421875" style="80" customWidth="1"/>
    <col min="7" max="7" width="13.00390625" style="80" bestFit="1" customWidth="1"/>
    <col min="8" max="8" width="14.140625" style="80" customWidth="1"/>
    <col min="9" max="9" width="14.8515625" style="80" customWidth="1"/>
    <col min="10" max="10" width="12.57421875" style="80" customWidth="1"/>
    <col min="11" max="11" width="11.28125" style="80" customWidth="1"/>
    <col min="12" max="12" width="11.28125" style="80" bestFit="1" customWidth="1"/>
    <col min="13" max="13" width="11.140625" style="80" bestFit="1" customWidth="1"/>
    <col min="14" max="14" width="9.140625" style="80" customWidth="1"/>
    <col min="15" max="15" width="9.8515625" style="80" bestFit="1" customWidth="1"/>
    <col min="16" max="16" width="11.421875" style="80" customWidth="1"/>
    <col min="17" max="17" width="12.7109375" style="80" bestFit="1" customWidth="1"/>
    <col min="18" max="18" width="15.57421875" style="80" customWidth="1"/>
    <col min="19" max="19" width="2.7109375" style="80" customWidth="1"/>
    <col min="20" max="16384" width="9.140625" style="80" customWidth="1"/>
  </cols>
  <sheetData>
    <row r="1" ht="18">
      <c r="A1" s="196" t="s">
        <v>215</v>
      </c>
    </row>
    <row r="3" spans="1:11" ht="18" customHeight="1">
      <c r="A3" s="188" t="s">
        <v>216</v>
      </c>
      <c r="B3" s="185"/>
      <c r="C3" s="185"/>
      <c r="D3" s="185"/>
      <c r="E3" s="185"/>
      <c r="F3" s="185"/>
      <c r="G3" s="185"/>
      <c r="H3" s="185"/>
      <c r="I3" s="185"/>
      <c r="J3" s="185"/>
      <c r="K3" s="80">
        <f>150/52*100</f>
        <v>288.46153846153845</v>
      </c>
    </row>
    <row r="4" spans="1:10" ht="12.75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1" ht="15" customHeight="1">
      <c r="A5" s="186" t="s">
        <v>63</v>
      </c>
      <c r="B5" s="186"/>
      <c r="C5" s="186"/>
      <c r="D5" s="186"/>
      <c r="E5" s="186"/>
      <c r="F5" s="186"/>
      <c r="G5" s="186"/>
      <c r="H5" s="272"/>
      <c r="I5" s="272"/>
      <c r="J5" s="137"/>
      <c r="K5" s="137"/>
    </row>
    <row r="6" spans="1:11" ht="15.75" customHeight="1">
      <c r="A6" s="187" t="s">
        <v>87</v>
      </c>
      <c r="B6" s="186"/>
      <c r="C6" s="186"/>
      <c r="D6" s="186"/>
      <c r="E6" s="186"/>
      <c r="F6" s="186"/>
      <c r="G6" s="186"/>
      <c r="H6" s="272"/>
      <c r="I6" s="272"/>
      <c r="J6" s="273"/>
      <c r="K6" s="91"/>
    </row>
    <row r="7" spans="1:13" ht="15" customHeight="1">
      <c r="A7" s="186"/>
      <c r="B7" s="186"/>
      <c r="C7" s="186"/>
      <c r="D7" s="186"/>
      <c r="E7" s="186"/>
      <c r="F7" s="186"/>
      <c r="G7" s="186"/>
      <c r="H7" s="274"/>
      <c r="I7" s="272"/>
      <c r="J7" s="275"/>
      <c r="K7" s="275"/>
      <c r="M7" s="256" t="s">
        <v>65</v>
      </c>
    </row>
    <row r="8" spans="1:13" ht="15.75" customHeight="1">
      <c r="A8" s="188" t="s">
        <v>62</v>
      </c>
      <c r="B8" s="186"/>
      <c r="C8" s="186"/>
      <c r="D8" s="186"/>
      <c r="E8" s="186"/>
      <c r="F8" s="186"/>
      <c r="G8" s="186"/>
      <c r="H8" s="274"/>
      <c r="I8" s="272"/>
      <c r="J8" s="275"/>
      <c r="K8" s="275"/>
      <c r="M8" s="256" t="s">
        <v>65</v>
      </c>
    </row>
    <row r="9" spans="1:12" ht="15" customHeight="1">
      <c r="A9" s="186" t="s">
        <v>59</v>
      </c>
      <c r="B9" s="186"/>
      <c r="C9" s="186"/>
      <c r="D9" s="186"/>
      <c r="E9" s="189" t="s">
        <v>65</v>
      </c>
      <c r="F9" s="186"/>
      <c r="G9" s="186"/>
      <c r="H9" s="272"/>
      <c r="I9" s="272"/>
      <c r="J9" s="276"/>
      <c r="K9" s="276"/>
      <c r="L9" s="268" t="s">
        <v>65</v>
      </c>
    </row>
    <row r="10" spans="1:10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ht="13.5" thickBot="1"/>
    <row r="13" spans="1:19" ht="12.75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L13" s="151"/>
      <c r="M13" s="152"/>
      <c r="N13" s="152"/>
      <c r="O13" s="152"/>
      <c r="P13" s="153"/>
      <c r="Q13" s="153"/>
      <c r="R13" s="153"/>
      <c r="S13" s="154"/>
    </row>
    <row r="14" spans="1:19" ht="15">
      <c r="A14" s="198" t="s">
        <v>201</v>
      </c>
      <c r="B14" s="91"/>
      <c r="C14" s="91"/>
      <c r="D14" s="82"/>
      <c r="E14" s="83"/>
      <c r="F14" s="181" t="s">
        <v>202</v>
      </c>
      <c r="G14" s="84"/>
      <c r="H14" s="85"/>
      <c r="I14" s="232"/>
      <c r="J14" s="122"/>
      <c r="L14" s="283" t="s">
        <v>76</v>
      </c>
      <c r="M14" s="284"/>
      <c r="N14" s="284"/>
      <c r="O14" s="284"/>
      <c r="P14" s="284"/>
      <c r="Q14" s="284"/>
      <c r="R14" s="284"/>
      <c r="S14" s="285"/>
    </row>
    <row r="15" spans="1:19" ht="33.75">
      <c r="A15" s="123"/>
      <c r="B15" s="91"/>
      <c r="C15" s="91"/>
      <c r="D15" s="248" t="s">
        <v>213</v>
      </c>
      <c r="E15" s="248" t="s">
        <v>147</v>
      </c>
      <c r="F15" s="248" t="s">
        <v>148</v>
      </c>
      <c r="G15" s="248" t="s">
        <v>149</v>
      </c>
      <c r="H15" s="252" t="s">
        <v>199</v>
      </c>
      <c r="I15" s="252" t="s">
        <v>191</v>
      </c>
      <c r="J15" s="122"/>
      <c r="K15" s="87"/>
      <c r="L15" s="159"/>
      <c r="M15" s="156"/>
      <c r="N15" s="166"/>
      <c r="O15" s="165" t="s">
        <v>67</v>
      </c>
      <c r="P15" s="165" t="s">
        <v>68</v>
      </c>
      <c r="Q15" s="165"/>
      <c r="R15" s="165" t="s">
        <v>102</v>
      </c>
      <c r="S15" s="158"/>
    </row>
    <row r="16" spans="1:19" ht="12.75">
      <c r="A16" s="121" t="s">
        <v>72</v>
      </c>
      <c r="B16" s="91"/>
      <c r="C16" s="91"/>
      <c r="D16" s="90"/>
      <c r="E16" s="90"/>
      <c r="F16" s="90"/>
      <c r="G16" s="90"/>
      <c r="H16" s="90"/>
      <c r="I16" s="90"/>
      <c r="J16" s="124"/>
      <c r="K16" s="91"/>
      <c r="L16" s="204" t="s">
        <v>103</v>
      </c>
      <c r="M16" s="156"/>
      <c r="N16" s="165" t="s">
        <v>66</v>
      </c>
      <c r="O16" s="165" t="s">
        <v>70</v>
      </c>
      <c r="P16" s="165" t="s">
        <v>69</v>
      </c>
      <c r="Q16" s="165"/>
      <c r="R16" s="165" t="s">
        <v>101</v>
      </c>
      <c r="S16" s="158"/>
    </row>
    <row r="17" spans="1:19" ht="15">
      <c r="A17" s="123" t="s">
        <v>64</v>
      </c>
      <c r="C17" s="91" t="s">
        <v>111</v>
      </c>
      <c r="D17" s="131">
        <f>180.31/K3*100</f>
        <v>62.507466666666666</v>
      </c>
      <c r="E17" s="131">
        <f>179.64/K3*100</f>
        <v>62.2752</v>
      </c>
      <c r="F17" s="131">
        <f>188.73/K3*100</f>
        <v>65.4264</v>
      </c>
      <c r="G17" s="131">
        <f>198.64/K3*100</f>
        <v>68.86186666666666</v>
      </c>
      <c r="H17" s="92">
        <f>AVERAGE(D17:G17)</f>
        <v>64.76773333333333</v>
      </c>
      <c r="I17" s="92">
        <v>63.20686666666666</v>
      </c>
      <c r="J17" s="124"/>
      <c r="L17" s="155"/>
      <c r="M17" s="160">
        <v>2012</v>
      </c>
      <c r="N17" s="171">
        <v>8774</v>
      </c>
      <c r="O17" s="167">
        <v>246</v>
      </c>
      <c r="P17" s="169">
        <v>0.83</v>
      </c>
      <c r="Q17" s="206"/>
      <c r="R17" s="220">
        <f>N17+O17*15</f>
        <v>12464</v>
      </c>
      <c r="S17" s="158"/>
    </row>
    <row r="18" spans="1:19" ht="15" thickBot="1">
      <c r="A18" s="123"/>
      <c r="C18" s="91"/>
      <c r="D18" s="131"/>
      <c r="E18" s="131"/>
      <c r="F18" s="131"/>
      <c r="G18" s="131"/>
      <c r="H18" s="92"/>
      <c r="I18" s="92"/>
      <c r="J18" s="124"/>
      <c r="L18" s="161"/>
      <c r="M18" s="182"/>
      <c r="N18" s="162"/>
      <c r="O18" s="261" t="s">
        <v>65</v>
      </c>
      <c r="P18" s="162"/>
      <c r="Q18" s="162"/>
      <c r="R18" s="281"/>
      <c r="S18" s="163"/>
    </row>
    <row r="19" spans="1:19" ht="14.25">
      <c r="A19" s="123"/>
      <c r="C19" s="91"/>
      <c r="D19" s="131"/>
      <c r="E19" s="131"/>
      <c r="F19" s="131"/>
      <c r="G19" s="131"/>
      <c r="H19" s="92"/>
      <c r="I19" s="92"/>
      <c r="J19" s="124"/>
      <c r="L19" s="183" t="s">
        <v>86</v>
      </c>
      <c r="M19" s="146"/>
      <c r="N19" s="139"/>
      <c r="O19" s="139"/>
      <c r="P19" s="139"/>
      <c r="Q19" s="139"/>
      <c r="R19" s="222"/>
      <c r="S19" s="140"/>
    </row>
    <row r="20" spans="1:19" ht="15">
      <c r="A20" s="123"/>
      <c r="C20" s="91"/>
      <c r="D20" s="131"/>
      <c r="E20" s="132"/>
      <c r="F20" s="131"/>
      <c r="G20" s="131"/>
      <c r="H20" s="172">
        <f>SUM(H17:H19)</f>
        <v>64.76773333333333</v>
      </c>
      <c r="I20" s="277">
        <v>63.20686666666666</v>
      </c>
      <c r="J20" s="124"/>
      <c r="L20" s="138"/>
      <c r="M20" s="143">
        <v>2011</v>
      </c>
      <c r="N20" s="144">
        <v>7747</v>
      </c>
      <c r="O20" s="144">
        <v>246</v>
      </c>
      <c r="P20" s="145">
        <v>0.78</v>
      </c>
      <c r="Q20" s="205"/>
      <c r="R20" s="223">
        <f>N20+O20*15</f>
        <v>11437</v>
      </c>
      <c r="S20" s="140"/>
    </row>
    <row r="21" spans="1:19" ht="15">
      <c r="A21" s="121" t="s">
        <v>7</v>
      </c>
      <c r="C21" s="91"/>
      <c r="D21" s="131"/>
      <c r="E21" s="131"/>
      <c r="F21" s="131"/>
      <c r="G21" s="131"/>
      <c r="H21" s="92"/>
      <c r="I21" s="92"/>
      <c r="J21" s="124"/>
      <c r="L21" s="138"/>
      <c r="M21" s="143"/>
      <c r="N21" s="223"/>
      <c r="O21" s="223"/>
      <c r="P21" s="205"/>
      <c r="Q21" s="205"/>
      <c r="R21" s="223"/>
      <c r="S21" s="140"/>
    </row>
    <row r="22" spans="1:19" ht="12.75">
      <c r="A22" s="123"/>
      <c r="C22" s="91" t="s">
        <v>111</v>
      </c>
      <c r="D22" s="131">
        <v>20.41</v>
      </c>
      <c r="E22" s="131">
        <v>19.77</v>
      </c>
      <c r="F22" s="131">
        <v>18</v>
      </c>
      <c r="G22" s="131">
        <v>18.51</v>
      </c>
      <c r="H22" s="92">
        <f>AVERAGE(D22:G22)</f>
        <v>19.1725</v>
      </c>
      <c r="I22" s="92">
        <v>18.975</v>
      </c>
      <c r="J22" s="124"/>
      <c r="L22" s="138"/>
      <c r="M22" s="271"/>
      <c r="N22" s="271"/>
      <c r="O22" s="271"/>
      <c r="P22" s="271"/>
      <c r="Q22" s="271"/>
      <c r="R22" s="271"/>
      <c r="S22" s="140"/>
    </row>
    <row r="23" spans="1:19" ht="15">
      <c r="A23" s="123" t="s">
        <v>211</v>
      </c>
      <c r="B23" s="91"/>
      <c r="C23" s="91"/>
      <c r="D23" s="131"/>
      <c r="E23" s="131"/>
      <c r="F23" s="131"/>
      <c r="G23" s="131"/>
      <c r="H23" s="92"/>
      <c r="I23" s="92"/>
      <c r="J23" s="124"/>
      <c r="L23" s="138"/>
      <c r="M23" s="143">
        <v>2010</v>
      </c>
      <c r="N23" s="144">
        <v>7747</v>
      </c>
      <c r="O23" s="144">
        <v>246</v>
      </c>
      <c r="P23" s="145">
        <v>0.78</v>
      </c>
      <c r="Q23" s="205"/>
      <c r="R23" s="223">
        <f>N23+O23*15</f>
        <v>11437</v>
      </c>
      <c r="S23" s="140"/>
    </row>
    <row r="24" spans="1:19" ht="15">
      <c r="A24" s="247" t="s">
        <v>65</v>
      </c>
      <c r="B24" s="91"/>
      <c r="C24" s="91"/>
      <c r="D24" s="131"/>
      <c r="E24" s="131"/>
      <c r="F24" s="131"/>
      <c r="G24" s="131"/>
      <c r="H24" s="92"/>
      <c r="I24" s="92"/>
      <c r="J24" s="124"/>
      <c r="L24" s="138"/>
      <c r="M24" s="143"/>
      <c r="N24" s="223"/>
      <c r="O24" s="223"/>
      <c r="P24" s="205"/>
      <c r="Q24" s="205"/>
      <c r="R24" s="223"/>
      <c r="S24" s="140"/>
    </row>
    <row r="25" spans="1:19" ht="12.75">
      <c r="A25" s="123"/>
      <c r="B25" s="91"/>
      <c r="C25" s="91"/>
      <c r="D25" s="93"/>
      <c r="E25" s="93"/>
      <c r="F25" s="93"/>
      <c r="G25" s="93"/>
      <c r="H25" s="278">
        <f>SUM(H22:H24)</f>
        <v>19.1725</v>
      </c>
      <c r="I25" s="277">
        <v>18.975</v>
      </c>
      <c r="J25" s="124"/>
      <c r="L25" s="138"/>
      <c r="M25" s="271"/>
      <c r="N25" s="271"/>
      <c r="O25" s="271"/>
      <c r="P25" s="271"/>
      <c r="Q25" s="271"/>
      <c r="R25" s="271"/>
      <c r="S25" s="140"/>
    </row>
    <row r="26" spans="1:19" ht="15">
      <c r="A26" s="123"/>
      <c r="B26" s="91"/>
      <c r="C26" s="91"/>
      <c r="D26" s="91"/>
      <c r="E26" s="91"/>
      <c r="F26" s="91"/>
      <c r="G26" s="91"/>
      <c r="H26" s="91"/>
      <c r="I26" s="91"/>
      <c r="J26" s="124"/>
      <c r="L26" s="138"/>
      <c r="M26" s="143">
        <v>2009</v>
      </c>
      <c r="N26" s="144">
        <v>7747</v>
      </c>
      <c r="O26" s="144">
        <v>246</v>
      </c>
      <c r="P26" s="145">
        <v>0.78</v>
      </c>
      <c r="Q26" s="205"/>
      <c r="R26" s="223">
        <f>N26+O26*15</f>
        <v>11437</v>
      </c>
      <c r="S26" s="140"/>
    </row>
    <row r="27" spans="1:19" ht="12.75">
      <c r="A27" s="121" t="s">
        <v>203</v>
      </c>
      <c r="B27" s="95"/>
      <c r="C27" s="95"/>
      <c r="D27" s="125">
        <f>SUM(D17:D24)</f>
        <v>82.91746666666667</v>
      </c>
      <c r="E27" s="125">
        <f>SUM(E17:E24)</f>
        <v>82.0452</v>
      </c>
      <c r="F27" s="125">
        <f>SUM(F17:F24)</f>
        <v>83.4264</v>
      </c>
      <c r="G27" s="125">
        <f>SUM(G17:G24)</f>
        <v>87.37186666666666</v>
      </c>
      <c r="H27" s="126">
        <f>SUM(H20:H24)</f>
        <v>83.94023333333332</v>
      </c>
      <c r="I27" s="192">
        <v>77.02</v>
      </c>
      <c r="J27" s="124"/>
      <c r="L27" s="138"/>
      <c r="M27" s="139"/>
      <c r="N27" s="139"/>
      <c r="O27" s="139"/>
      <c r="P27" s="139"/>
      <c r="Q27" s="139"/>
      <c r="R27" s="139"/>
      <c r="S27" s="140"/>
    </row>
    <row r="28" spans="1:19" ht="12.75">
      <c r="A28" s="121"/>
      <c r="B28" s="95"/>
      <c r="C28" s="95"/>
      <c r="D28" s="125"/>
      <c r="E28" s="125"/>
      <c r="F28" s="125"/>
      <c r="G28" s="125"/>
      <c r="H28" s="134"/>
      <c r="I28" s="134"/>
      <c r="J28" s="124"/>
      <c r="K28" s="111"/>
      <c r="L28" s="235" t="s">
        <v>65</v>
      </c>
      <c r="M28" s="139"/>
      <c r="N28" s="139"/>
      <c r="O28" s="139"/>
      <c r="P28" s="139"/>
      <c r="Q28" s="139"/>
      <c r="R28" s="139"/>
      <c r="S28" s="140"/>
    </row>
    <row r="29" spans="1:19" ht="15">
      <c r="A29" s="130" t="s">
        <v>204</v>
      </c>
      <c r="B29" s="135"/>
      <c r="C29" s="135"/>
      <c r="D29" s="136">
        <f>D27*(15000/52)/100</f>
        <v>239.185</v>
      </c>
      <c r="E29" s="136">
        <f>E27*(15000/52)/100</f>
        <v>236.66884615384615</v>
      </c>
      <c r="F29" s="136">
        <f>F27*(15000/52)/100</f>
        <v>240.65307692307692</v>
      </c>
      <c r="G29" s="136">
        <f>G27*(15000/52)/100</f>
        <v>252.03423076923073</v>
      </c>
      <c r="H29" s="170">
        <f>H27*(15000/52)/100</f>
        <v>242.13528846153844</v>
      </c>
      <c r="I29" s="193">
        <v>222.18</v>
      </c>
      <c r="J29" s="124"/>
      <c r="K29" s="111"/>
      <c r="L29" s="138"/>
      <c r="M29" s="143">
        <v>2008</v>
      </c>
      <c r="N29" s="144">
        <v>7457</v>
      </c>
      <c r="O29" s="144">
        <v>233</v>
      </c>
      <c r="P29" s="145">
        <v>0.75</v>
      </c>
      <c r="Q29" s="205"/>
      <c r="R29" s="223">
        <f>N29+O29*15</f>
        <v>10952</v>
      </c>
      <c r="S29" s="140"/>
    </row>
    <row r="30" spans="1:19" ht="15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9"/>
      <c r="L30" s="138"/>
      <c r="M30" s="146"/>
      <c r="N30" s="142"/>
      <c r="O30" s="142"/>
      <c r="P30" s="142"/>
      <c r="Q30" s="142"/>
      <c r="R30" s="224"/>
      <c r="S30" s="140"/>
    </row>
    <row r="31" spans="12:19" ht="14.25">
      <c r="L31" s="138"/>
      <c r="M31" s="146"/>
      <c r="N31" s="142"/>
      <c r="O31" s="142"/>
      <c r="P31" s="142"/>
      <c r="Q31" s="142"/>
      <c r="R31" s="224"/>
      <c r="S31" s="140"/>
    </row>
    <row r="32" spans="12:19" ht="15">
      <c r="L32" s="138"/>
      <c r="M32" s="143">
        <v>2007</v>
      </c>
      <c r="N32" s="144">
        <v>7457</v>
      </c>
      <c r="O32" s="144">
        <v>233</v>
      </c>
      <c r="P32" s="145">
        <v>0.75</v>
      </c>
      <c r="Q32" s="205"/>
      <c r="R32" s="223">
        <f>N32+O32*15</f>
        <v>10952</v>
      </c>
      <c r="S32" s="140"/>
    </row>
    <row r="33" spans="12:19" ht="15" thickBot="1">
      <c r="L33" s="138"/>
      <c r="M33" s="146"/>
      <c r="N33" s="142"/>
      <c r="O33" s="142"/>
      <c r="P33" s="142"/>
      <c r="Q33" s="142"/>
      <c r="R33" s="224"/>
      <c r="S33" s="140"/>
    </row>
    <row r="34" spans="1:19" ht="13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  <c r="L34" s="138"/>
      <c r="M34" s="146"/>
      <c r="N34" s="142"/>
      <c r="O34" s="142"/>
      <c r="P34" s="142"/>
      <c r="Q34" s="142"/>
      <c r="R34" s="224"/>
      <c r="S34" s="140"/>
    </row>
    <row r="35" spans="1:19" ht="15">
      <c r="A35" s="198" t="s">
        <v>214</v>
      </c>
      <c r="B35" s="91"/>
      <c r="C35" s="91"/>
      <c r="D35" s="82"/>
      <c r="E35" s="83"/>
      <c r="F35" s="181" t="s">
        <v>205</v>
      </c>
      <c r="G35" s="84"/>
      <c r="H35" s="85"/>
      <c r="I35" s="85"/>
      <c r="J35" s="122"/>
      <c r="L35" s="138"/>
      <c r="M35" s="143">
        <v>2006</v>
      </c>
      <c r="N35" s="144">
        <v>7457</v>
      </c>
      <c r="O35" s="144">
        <v>158</v>
      </c>
      <c r="P35" s="145">
        <v>0.65</v>
      </c>
      <c r="Q35" s="205"/>
      <c r="R35" s="223">
        <f>N35+O35*15</f>
        <v>9827</v>
      </c>
      <c r="S35" s="140"/>
    </row>
    <row r="36" spans="1:19" ht="33.75">
      <c r="A36" s="123" t="s">
        <v>212</v>
      </c>
      <c r="B36" s="91"/>
      <c r="C36" s="91"/>
      <c r="D36" s="248" t="s">
        <v>213</v>
      </c>
      <c r="E36" s="248" t="s">
        <v>147</v>
      </c>
      <c r="F36" s="248" t="s">
        <v>148</v>
      </c>
      <c r="G36" s="248" t="s">
        <v>149</v>
      </c>
      <c r="H36" s="249" t="s">
        <v>199</v>
      </c>
      <c r="I36" s="249" t="s">
        <v>191</v>
      </c>
      <c r="J36" s="122"/>
      <c r="L36" s="235" t="s">
        <v>65</v>
      </c>
      <c r="M36" s="146"/>
      <c r="N36" s="142"/>
      <c r="O36" s="142"/>
      <c r="P36" s="142"/>
      <c r="Q36" s="142"/>
      <c r="R36" s="224"/>
      <c r="S36" s="140"/>
    </row>
    <row r="37" spans="1:19" ht="14.25">
      <c r="A37" s="121" t="s">
        <v>65</v>
      </c>
      <c r="B37" s="91"/>
      <c r="C37" s="91"/>
      <c r="D37" s="90" t="s">
        <v>65</v>
      </c>
      <c r="E37" s="90"/>
      <c r="F37" s="90"/>
      <c r="G37" s="90"/>
      <c r="H37" s="90"/>
      <c r="I37" s="90"/>
      <c r="J37" s="124"/>
      <c r="L37" s="138"/>
      <c r="M37" s="146"/>
      <c r="N37" s="142"/>
      <c r="O37" s="142"/>
      <c r="P37" s="142"/>
      <c r="Q37" s="142"/>
      <c r="R37" s="224"/>
      <c r="S37" s="140"/>
    </row>
    <row r="38" spans="1:19" ht="15">
      <c r="A38" s="121" t="s">
        <v>96</v>
      </c>
      <c r="B38" s="91" t="s">
        <v>65</v>
      </c>
      <c r="C38" s="132"/>
      <c r="D38" s="199">
        <v>220.98</v>
      </c>
      <c r="E38" s="199">
        <v>234.92</v>
      </c>
      <c r="F38" s="199">
        <v>240.32</v>
      </c>
      <c r="G38" s="199">
        <v>252.73</v>
      </c>
      <c r="H38" s="200">
        <f>AVERAGE(D38:G38)</f>
        <v>237.2375</v>
      </c>
      <c r="I38" s="201">
        <v>202.1</v>
      </c>
      <c r="J38" s="124"/>
      <c r="L38" s="138"/>
      <c r="M38" s="143">
        <v>2005</v>
      </c>
      <c r="N38" s="144">
        <v>7457</v>
      </c>
      <c r="O38" s="144">
        <v>145</v>
      </c>
      <c r="P38" s="145">
        <v>0.65</v>
      </c>
      <c r="Q38" s="205"/>
      <c r="R38" s="223">
        <f>N38+O38*15</f>
        <v>9632</v>
      </c>
      <c r="S38" s="140"/>
    </row>
    <row r="39" spans="1:19" ht="14.25">
      <c r="A39" s="123"/>
      <c r="B39" s="91"/>
      <c r="C39" s="91"/>
      <c r="D39" s="91"/>
      <c r="E39" s="91"/>
      <c r="F39" s="91"/>
      <c r="G39" s="91"/>
      <c r="H39" s="91"/>
      <c r="I39" s="91"/>
      <c r="J39" s="124"/>
      <c r="L39" s="138"/>
      <c r="M39" s="146"/>
      <c r="N39" s="142"/>
      <c r="O39" s="142"/>
      <c r="P39" s="142"/>
      <c r="Q39" s="142"/>
      <c r="R39" s="224"/>
      <c r="S39" s="140"/>
    </row>
    <row r="40" spans="1:19" ht="15">
      <c r="A40" s="121" t="s">
        <v>206</v>
      </c>
      <c r="B40" s="95"/>
      <c r="C40" s="125"/>
      <c r="D40" s="125">
        <f>D38/15000*52*100</f>
        <v>76.6064</v>
      </c>
      <c r="E40" s="125">
        <f>E38/15000*52*100</f>
        <v>81.43893333333332</v>
      </c>
      <c r="F40" s="125">
        <f>F38/15000*52*100</f>
        <v>83.31093333333332</v>
      </c>
      <c r="G40" s="125">
        <f>G38/15000*52*100</f>
        <v>87.61306666666667</v>
      </c>
      <c r="H40" s="126">
        <f>AVERAGE(D40:G40)</f>
        <v>82.24233333333332</v>
      </c>
      <c r="I40" s="192">
        <v>70.08</v>
      </c>
      <c r="J40" s="124"/>
      <c r="L40" s="141"/>
      <c r="M40" s="143">
        <v>2004</v>
      </c>
      <c r="N40" s="144">
        <v>7457</v>
      </c>
      <c r="O40" s="144">
        <v>145</v>
      </c>
      <c r="P40" s="145">
        <v>0.65</v>
      </c>
      <c r="Q40" s="205"/>
      <c r="R40" s="223">
        <f>N40+O40*15</f>
        <v>9632</v>
      </c>
      <c r="S40" s="140"/>
    </row>
    <row r="41" spans="1:19" ht="13.5" thickBot="1">
      <c r="A41" s="121"/>
      <c r="B41" s="95"/>
      <c r="C41" s="125"/>
      <c r="D41" s="125"/>
      <c r="E41" s="125"/>
      <c r="F41" s="125"/>
      <c r="G41" s="125"/>
      <c r="H41" s="134"/>
      <c r="I41" s="133"/>
      <c r="J41" s="124"/>
      <c r="L41" s="148"/>
      <c r="M41" s="149"/>
      <c r="N41" s="149"/>
      <c r="O41" s="149"/>
      <c r="P41" s="149"/>
      <c r="Q41" s="149"/>
      <c r="R41" s="149"/>
      <c r="S41" s="150"/>
    </row>
    <row r="42" spans="1:10" ht="15">
      <c r="A42" s="130" t="s">
        <v>207</v>
      </c>
      <c r="B42" s="135"/>
      <c r="C42" s="136"/>
      <c r="D42" s="136">
        <f>D40*(15000/52)/100</f>
        <v>220.97999999999996</v>
      </c>
      <c r="E42" s="136">
        <f>E40*(15000/52)/100</f>
        <v>234.91999999999996</v>
      </c>
      <c r="F42" s="136">
        <f>F40*(15000/52)/100</f>
        <v>240.31999999999996</v>
      </c>
      <c r="G42" s="136">
        <f>G40*(15000/52)/100</f>
        <v>252.73</v>
      </c>
      <c r="H42" s="170">
        <f>H40*(15000/52)/100</f>
        <v>237.23749999999995</v>
      </c>
      <c r="I42" s="193">
        <v>202.1</v>
      </c>
      <c r="J42" s="124"/>
    </row>
    <row r="43" spans="1:11" ht="13.5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9"/>
      <c r="K43" s="94"/>
    </row>
    <row r="44" spans="1:19" ht="12.75">
      <c r="A44" s="91"/>
      <c r="B44" s="91"/>
      <c r="C44" s="91"/>
      <c r="D44" s="91"/>
      <c r="E44" s="91"/>
      <c r="F44" s="91"/>
      <c r="G44" s="91"/>
      <c r="H44" s="266" t="s">
        <v>65</v>
      </c>
      <c r="I44" s="91"/>
      <c r="J44" s="91"/>
      <c r="K44" s="94"/>
      <c r="L44" s="151"/>
      <c r="M44" s="152"/>
      <c r="N44" s="152"/>
      <c r="O44" s="152"/>
      <c r="P44" s="152"/>
      <c r="Q44" s="152"/>
      <c r="R44" s="152"/>
      <c r="S44" s="154"/>
    </row>
    <row r="45" spans="1:19" ht="13.5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4"/>
      <c r="L45" s="204" t="s">
        <v>99</v>
      </c>
      <c r="M45" s="156"/>
      <c r="N45" s="156"/>
      <c r="O45" s="156"/>
      <c r="P45" s="156"/>
      <c r="Q45" s="156"/>
      <c r="R45" s="156"/>
      <c r="S45" s="158"/>
    </row>
    <row r="46" spans="1:19" ht="13.5" thickBot="1">
      <c r="A46" s="118"/>
      <c r="B46" s="119"/>
      <c r="C46" s="119"/>
      <c r="D46" s="119"/>
      <c r="E46" s="119"/>
      <c r="F46" s="119"/>
      <c r="G46" s="119"/>
      <c r="H46" s="119"/>
      <c r="I46" s="119"/>
      <c r="J46" s="120"/>
      <c r="K46" s="94"/>
      <c r="L46" s="161"/>
      <c r="M46" s="162"/>
      <c r="N46" s="162"/>
      <c r="O46" s="162"/>
      <c r="P46" s="162"/>
      <c r="Q46" s="162"/>
      <c r="R46" s="162"/>
      <c r="S46" s="163"/>
    </row>
    <row r="47" spans="1:19" ht="15">
      <c r="A47" s="198" t="s">
        <v>208</v>
      </c>
      <c r="B47" s="91"/>
      <c r="C47" s="91"/>
      <c r="D47" s="91"/>
      <c r="E47" s="91"/>
      <c r="F47" s="91"/>
      <c r="G47" s="91"/>
      <c r="H47" s="137" t="s">
        <v>199</v>
      </c>
      <c r="I47" s="137" t="s">
        <v>191</v>
      </c>
      <c r="J47" s="124"/>
      <c r="K47" s="94"/>
      <c r="L47" s="207"/>
      <c r="M47" s="210">
        <v>2012</v>
      </c>
      <c r="N47" s="264"/>
      <c r="O47" s="210">
        <v>2011</v>
      </c>
      <c r="P47" s="259"/>
      <c r="Q47" s="210" t="s">
        <v>100</v>
      </c>
      <c r="R47" s="259"/>
      <c r="S47" s="211"/>
    </row>
    <row r="48" spans="1:19" ht="15">
      <c r="A48" s="123"/>
      <c r="B48" s="91"/>
      <c r="C48" s="91"/>
      <c r="D48" s="91"/>
      <c r="E48" s="91"/>
      <c r="F48" s="91"/>
      <c r="G48" s="91"/>
      <c r="H48" s="91"/>
      <c r="I48" s="91"/>
      <c r="J48" s="124"/>
      <c r="K48" s="94"/>
      <c r="L48" s="212" t="s">
        <v>66</v>
      </c>
      <c r="M48" s="218">
        <f>N17</f>
        <v>8774</v>
      </c>
      <c r="N48" s="260"/>
      <c r="O48" s="218">
        <v>7747</v>
      </c>
      <c r="P48" s="259"/>
      <c r="Q48" s="213">
        <f>(M48-O48)/O48</f>
        <v>0.13256744546275978</v>
      </c>
      <c r="R48" s="259"/>
      <c r="S48" s="211"/>
    </row>
    <row r="49" spans="1:19" ht="15">
      <c r="A49" s="121" t="s">
        <v>209</v>
      </c>
      <c r="B49" s="91"/>
      <c r="C49" s="91"/>
      <c r="D49" s="116">
        <f>(D40+D27)/2/100</f>
        <v>0.7976193333333333</v>
      </c>
      <c r="E49" s="116">
        <f>(E40+E27)/2/100</f>
        <v>0.8174206666666666</v>
      </c>
      <c r="F49" s="116">
        <f>(F40+F27)/2/100</f>
        <v>0.8336866666666666</v>
      </c>
      <c r="G49" s="116">
        <f>(G40+G27)/2/100</f>
        <v>0.8749246666666667</v>
      </c>
      <c r="H49" s="250">
        <f>(H40+H27)/2/100</f>
        <v>0.8309128333333332</v>
      </c>
      <c r="I49" s="234">
        <v>0.7612</v>
      </c>
      <c r="J49" s="124"/>
      <c r="L49" s="212" t="s">
        <v>67</v>
      </c>
      <c r="M49" s="218">
        <f>O17*15</f>
        <v>3690</v>
      </c>
      <c r="N49" s="260"/>
      <c r="O49" s="218">
        <v>3690</v>
      </c>
      <c r="P49" s="259"/>
      <c r="Q49" s="213">
        <f>(M49-O49)/O49</f>
        <v>0</v>
      </c>
      <c r="R49" s="259"/>
      <c r="S49" s="211"/>
    </row>
    <row r="50" spans="1:19" ht="15">
      <c r="A50" s="121"/>
      <c r="B50" s="91"/>
      <c r="C50" s="91"/>
      <c r="D50" s="116"/>
      <c r="E50" s="116"/>
      <c r="F50" s="116"/>
      <c r="G50" s="116"/>
      <c r="H50" s="116"/>
      <c r="I50" s="116"/>
      <c r="J50" s="124"/>
      <c r="L50" s="212"/>
      <c r="M50" s="262">
        <f>SUM(M48:M49)</f>
        <v>12464</v>
      </c>
      <c r="N50" s="263"/>
      <c r="O50" s="262">
        <v>11437</v>
      </c>
      <c r="P50" s="259"/>
      <c r="Q50" s="213">
        <f>(M50-O50)/O50</f>
        <v>0.08979627524700533</v>
      </c>
      <c r="R50" s="259"/>
      <c r="S50" s="211"/>
    </row>
    <row r="51" spans="1:19" ht="14.25">
      <c r="A51" s="121" t="s">
        <v>210</v>
      </c>
      <c r="B51" s="91"/>
      <c r="C51" s="91"/>
      <c r="D51" s="116">
        <f>(D42+D29)/2</f>
        <v>230.08249999999998</v>
      </c>
      <c r="E51" s="116">
        <f>(E42+E29)/2</f>
        <v>235.79442307692307</v>
      </c>
      <c r="F51" s="116">
        <f>(F42+F29)/2</f>
        <v>240.48653846153843</v>
      </c>
      <c r="G51" s="116">
        <f>(G42+G29)/2</f>
        <v>252.38211538461536</v>
      </c>
      <c r="H51" s="202">
        <f>(H42+H29)/2</f>
        <v>239.6863942307692</v>
      </c>
      <c r="I51" s="194">
        <v>219.58</v>
      </c>
      <c r="J51" s="124"/>
      <c r="L51" s="212"/>
      <c r="M51" s="218"/>
      <c r="N51" s="260"/>
      <c r="O51" s="218"/>
      <c r="P51" s="259"/>
      <c r="Q51" s="214"/>
      <c r="R51" s="259"/>
      <c r="S51" s="211"/>
    </row>
    <row r="52" spans="1:19" ht="15">
      <c r="A52" s="121"/>
      <c r="B52" s="91"/>
      <c r="C52" s="91"/>
      <c r="D52" s="91"/>
      <c r="E52" s="91"/>
      <c r="F52" s="91"/>
      <c r="G52" s="91"/>
      <c r="H52" s="91"/>
      <c r="I52" s="91"/>
      <c r="J52" s="124"/>
      <c r="L52" s="212" t="s">
        <v>68</v>
      </c>
      <c r="M52" s="225">
        <f>P17</f>
        <v>0.83</v>
      </c>
      <c r="N52" s="260"/>
      <c r="O52" s="225">
        <v>0.78</v>
      </c>
      <c r="P52" s="259"/>
      <c r="Q52" s="213">
        <f>(M52-O52)/O52</f>
        <v>0.06410256410256401</v>
      </c>
      <c r="R52" s="259"/>
      <c r="S52" s="211"/>
    </row>
    <row r="53" spans="1:19" ht="15">
      <c r="A53" s="174" t="s">
        <v>200</v>
      </c>
      <c r="B53" s="175"/>
      <c r="C53" s="175"/>
      <c r="D53" s="176">
        <f>D51*52</f>
        <v>11964.289999999999</v>
      </c>
      <c r="E53" s="176">
        <f>E51*52</f>
        <v>12261.31</v>
      </c>
      <c r="F53" s="176">
        <f>F51*52</f>
        <v>12505.3</v>
      </c>
      <c r="G53" s="176">
        <f>G51*52</f>
        <v>13123.869999999999</v>
      </c>
      <c r="H53" s="184">
        <f>H51*52</f>
        <v>12463.692499999997</v>
      </c>
      <c r="I53" s="195">
        <v>11418</v>
      </c>
      <c r="J53" s="124"/>
      <c r="L53" s="207"/>
      <c r="M53" s="259" t="s">
        <v>65</v>
      </c>
      <c r="N53" s="259"/>
      <c r="O53" s="259"/>
      <c r="P53" s="259"/>
      <c r="Q53" s="259"/>
      <c r="R53" s="259"/>
      <c r="S53" s="211"/>
    </row>
    <row r="54" spans="1:19" ht="13.5" thickBot="1">
      <c r="A54" s="173"/>
      <c r="B54" s="128"/>
      <c r="C54" s="128"/>
      <c r="D54" s="128"/>
      <c r="E54" s="128"/>
      <c r="F54" s="128"/>
      <c r="G54" s="128"/>
      <c r="H54" s="128"/>
      <c r="I54" s="128"/>
      <c r="J54" s="129"/>
      <c r="L54" s="207"/>
      <c r="M54" s="259"/>
      <c r="N54" s="259"/>
      <c r="O54" s="259"/>
      <c r="P54" s="259"/>
      <c r="Q54" s="259"/>
      <c r="R54" s="259"/>
      <c r="S54" s="211"/>
    </row>
    <row r="55" spans="12:19" ht="13.5" thickBot="1">
      <c r="L55" s="215"/>
      <c r="M55" s="216"/>
      <c r="N55" s="216"/>
      <c r="O55" s="216"/>
      <c r="P55" s="216"/>
      <c r="Q55" s="216"/>
      <c r="R55" s="216"/>
      <c r="S55" s="217"/>
    </row>
    <row r="56" spans="12:19" ht="12.75" hidden="1">
      <c r="L56" s="203"/>
      <c r="M56" s="203"/>
      <c r="N56" s="203"/>
      <c r="O56" s="203"/>
      <c r="P56" s="203"/>
      <c r="Q56" s="203"/>
      <c r="R56" s="203"/>
      <c r="S56" s="203"/>
    </row>
    <row r="57" spans="12:19" ht="12.75" hidden="1">
      <c r="L57" s="203"/>
      <c r="M57" s="279">
        <f>+H53-M50</f>
        <v>-0.30750000000261934</v>
      </c>
      <c r="N57" s="203"/>
      <c r="O57" s="203"/>
      <c r="P57" s="203"/>
      <c r="Q57" s="203"/>
      <c r="R57" s="203"/>
      <c r="S57" s="203"/>
    </row>
    <row r="58" spans="1:19" ht="12.75" hidden="1">
      <c r="A58" s="96"/>
      <c r="B58" s="97"/>
      <c r="C58" s="97"/>
      <c r="D58" s="97"/>
      <c r="E58" s="97"/>
      <c r="F58" s="97"/>
      <c r="G58" s="97"/>
      <c r="H58" s="98"/>
      <c r="I58" s="98"/>
      <c r="J58" s="180"/>
      <c r="K58" s="91"/>
      <c r="L58" s="203"/>
      <c r="M58" s="279">
        <f>+M48+M57</f>
        <v>8773.692499999997</v>
      </c>
      <c r="N58" s="203"/>
      <c r="O58" s="203"/>
      <c r="P58" s="203"/>
      <c r="Q58" s="203"/>
      <c r="R58" s="203"/>
      <c r="S58" s="203"/>
    </row>
    <row r="59" spans="1:19" ht="12.75" hidden="1">
      <c r="A59" s="103" t="s">
        <v>48</v>
      </c>
      <c r="B59" s="95"/>
      <c r="C59" s="102"/>
      <c r="D59" s="102"/>
      <c r="E59" s="102"/>
      <c r="F59" s="102"/>
      <c r="G59" s="95"/>
      <c r="H59" s="137" t="s">
        <v>84</v>
      </c>
      <c r="I59" s="137" t="s">
        <v>85</v>
      </c>
      <c r="J59" s="180"/>
      <c r="K59" s="91"/>
      <c r="L59" s="203"/>
      <c r="M59" s="203"/>
      <c r="N59" s="203"/>
      <c r="O59" s="203"/>
      <c r="P59" s="203"/>
      <c r="Q59" s="203"/>
      <c r="R59" s="203"/>
      <c r="S59" s="203"/>
    </row>
    <row r="60" spans="1:19" ht="12.75" hidden="1">
      <c r="A60" s="101" t="s">
        <v>37</v>
      </c>
      <c r="B60" s="95"/>
      <c r="C60" s="91"/>
      <c r="D60" s="102">
        <v>178.63</v>
      </c>
      <c r="E60" s="102">
        <v>152.71</v>
      </c>
      <c r="F60" s="102">
        <v>180.78</v>
      </c>
      <c r="G60" s="102">
        <v>183.82</v>
      </c>
      <c r="H60" s="190">
        <f>AVERAGE(D60:G60)</f>
        <v>173.985</v>
      </c>
      <c r="I60" s="100">
        <f>H60*52</f>
        <v>9047.220000000001</v>
      </c>
      <c r="J60" s="180"/>
      <c r="K60" s="91"/>
      <c r="L60" s="203"/>
      <c r="M60" s="203"/>
      <c r="N60" s="203"/>
      <c r="O60" s="203"/>
      <c r="P60" s="203"/>
      <c r="Q60" s="203"/>
      <c r="R60" s="203"/>
      <c r="S60" s="203"/>
    </row>
    <row r="61" spans="1:19" ht="12.75" hidden="1">
      <c r="A61" s="101"/>
      <c r="B61" s="95"/>
      <c r="C61" s="91"/>
      <c r="D61" s="95"/>
      <c r="E61" s="95"/>
      <c r="F61" s="95"/>
      <c r="G61" s="95"/>
      <c r="H61" s="91"/>
      <c r="I61" s="91"/>
      <c r="J61" s="180"/>
      <c r="K61" s="91"/>
      <c r="R61" s="203"/>
      <c r="S61" s="203"/>
    </row>
    <row r="62" spans="1:19" ht="12.75" hidden="1">
      <c r="A62" s="103" t="s">
        <v>49</v>
      </c>
      <c r="B62" s="95"/>
      <c r="C62" s="91"/>
      <c r="D62" s="102"/>
      <c r="E62" s="102"/>
      <c r="F62" s="102"/>
      <c r="G62" s="102"/>
      <c r="H62" s="91"/>
      <c r="I62" s="91"/>
      <c r="J62" s="180"/>
      <c r="K62" s="91"/>
      <c r="L62" s="203"/>
      <c r="R62" s="203"/>
      <c r="S62" s="203"/>
    </row>
    <row r="63" spans="1:13" ht="12.75" hidden="1">
      <c r="A63" s="101" t="s">
        <v>37</v>
      </c>
      <c r="B63" s="95"/>
      <c r="C63" s="91"/>
      <c r="D63" s="102">
        <v>184.79</v>
      </c>
      <c r="E63" s="102">
        <v>162.41</v>
      </c>
      <c r="F63" s="102">
        <v>182.19</v>
      </c>
      <c r="G63" s="102">
        <v>180.76</v>
      </c>
      <c r="H63" s="190">
        <f>AVERAGE(D63:G63)</f>
        <v>177.5375</v>
      </c>
      <c r="I63" s="100">
        <f>H63*52</f>
        <v>9231.949999999999</v>
      </c>
      <c r="J63" s="180"/>
      <c r="K63" s="91"/>
      <c r="L63" s="203"/>
      <c r="M63" s="109"/>
    </row>
    <row r="64" spans="1:13" ht="12.75" hidden="1">
      <c r="A64" s="101"/>
      <c r="B64" s="95"/>
      <c r="C64" s="91"/>
      <c r="D64" s="95"/>
      <c r="E64" s="95"/>
      <c r="F64" s="95"/>
      <c r="G64" s="95"/>
      <c r="H64" s="91"/>
      <c r="I64" s="91"/>
      <c r="J64" s="180"/>
      <c r="K64" s="91"/>
      <c r="L64" s="203"/>
      <c r="M64" s="91"/>
    </row>
    <row r="65" spans="1:13" ht="12.75" hidden="1">
      <c r="A65" s="103" t="s">
        <v>53</v>
      </c>
      <c r="B65" s="95"/>
      <c r="C65" s="91"/>
      <c r="D65" s="95"/>
      <c r="E65" s="95"/>
      <c r="F65" s="95"/>
      <c r="G65" s="95"/>
      <c r="J65" s="180"/>
      <c r="K65" s="91"/>
      <c r="L65" s="203"/>
      <c r="M65" s="91"/>
    </row>
    <row r="66" spans="1:11" ht="12.75" hidden="1">
      <c r="A66" s="101" t="s">
        <v>37</v>
      </c>
      <c r="B66" s="95"/>
      <c r="C66" s="91"/>
      <c r="D66" s="102">
        <v>180.12</v>
      </c>
      <c r="E66" s="102">
        <v>175.14</v>
      </c>
      <c r="F66" s="102">
        <v>197.7</v>
      </c>
      <c r="G66" s="102">
        <v>202.7</v>
      </c>
      <c r="H66" s="238">
        <f>AVERAGE(D66:G66)</f>
        <v>188.91500000000002</v>
      </c>
      <c r="I66" s="115">
        <f>H66*52</f>
        <v>9823.580000000002</v>
      </c>
      <c r="J66" s="180"/>
      <c r="K66" s="91"/>
    </row>
    <row r="67" spans="1:11" ht="12.75" hidden="1">
      <c r="A67" s="101"/>
      <c r="B67" s="95"/>
      <c r="C67" s="91"/>
      <c r="D67" s="102"/>
      <c r="E67" s="102"/>
      <c r="F67" s="102"/>
      <c r="G67" s="102"/>
      <c r="H67" s="236"/>
      <c r="I67" s="237"/>
      <c r="J67" s="180"/>
      <c r="K67" s="91"/>
    </row>
    <row r="68" spans="1:11" ht="12.75" hidden="1">
      <c r="A68" s="103" t="s">
        <v>145</v>
      </c>
      <c r="B68" s="95"/>
      <c r="C68" s="91"/>
      <c r="D68" s="95"/>
      <c r="E68" s="95"/>
      <c r="F68" s="95"/>
      <c r="G68" s="95"/>
      <c r="J68" s="180"/>
      <c r="K68" s="91"/>
    </row>
    <row r="69" spans="1:11" ht="12.75" hidden="1">
      <c r="A69" s="101" t="s">
        <v>37</v>
      </c>
      <c r="B69" s="95"/>
      <c r="C69" s="91"/>
      <c r="D69" s="102">
        <v>199.37212031797503</v>
      </c>
      <c r="E69" s="102">
        <v>207.88178920954243</v>
      </c>
      <c r="F69" s="102">
        <v>216.5925</v>
      </c>
      <c r="G69" s="102">
        <v>218.13173076923078</v>
      </c>
      <c r="H69" s="236">
        <v>210.49453507418704</v>
      </c>
      <c r="I69" s="237">
        <f>H69*52</f>
        <v>10945.715823857727</v>
      </c>
      <c r="J69" s="180"/>
      <c r="K69" s="91"/>
    </row>
    <row r="70" spans="1:11" ht="12.75" hidden="1">
      <c r="A70" s="101"/>
      <c r="B70" s="95"/>
      <c r="C70" s="91"/>
      <c r="D70" s="102"/>
      <c r="E70" s="102"/>
      <c r="F70" s="102"/>
      <c r="G70" s="102"/>
      <c r="H70" s="236"/>
      <c r="I70" s="237"/>
      <c r="J70" s="180"/>
      <c r="K70" s="91"/>
    </row>
    <row r="71" spans="1:11" ht="12.75" hidden="1">
      <c r="A71" s="101"/>
      <c r="B71" s="95"/>
      <c r="C71" s="91"/>
      <c r="D71" s="102"/>
      <c r="E71" s="102"/>
      <c r="F71" s="102"/>
      <c r="G71" s="102"/>
      <c r="H71" s="236"/>
      <c r="I71" s="237"/>
      <c r="J71" s="180"/>
      <c r="K71" s="91"/>
    </row>
    <row r="72" spans="1:11" ht="12.75" hidden="1">
      <c r="A72" s="101"/>
      <c r="B72" s="95"/>
      <c r="C72" s="91"/>
      <c r="D72" s="102"/>
      <c r="E72" s="102"/>
      <c r="F72" s="102"/>
      <c r="G72" s="102"/>
      <c r="H72" s="236"/>
      <c r="I72" s="237"/>
      <c r="J72" s="180"/>
      <c r="K72" s="91"/>
    </row>
    <row r="73" spans="1:11" ht="12.75" hidden="1">
      <c r="A73" s="101"/>
      <c r="B73" s="95"/>
      <c r="C73" s="91"/>
      <c r="D73" s="102"/>
      <c r="E73" s="102"/>
      <c r="F73" s="102"/>
      <c r="G73" s="102"/>
      <c r="H73" s="236"/>
      <c r="I73" s="237"/>
      <c r="J73" s="180"/>
      <c r="K73" s="91"/>
    </row>
    <row r="74" spans="1:11" ht="12.75" hidden="1">
      <c r="A74" s="101"/>
      <c r="B74" s="95"/>
      <c r="C74" s="91"/>
      <c r="D74" s="102"/>
      <c r="E74" s="102"/>
      <c r="F74" s="102"/>
      <c r="G74" s="102"/>
      <c r="H74" s="236"/>
      <c r="I74" s="237"/>
      <c r="J74" s="180"/>
      <c r="K74" s="91"/>
    </row>
    <row r="75" spans="1:11" ht="12.75" hidden="1">
      <c r="A75" s="106"/>
      <c r="B75" s="107"/>
      <c r="C75" s="107"/>
      <c r="D75" s="107"/>
      <c r="E75" s="107"/>
      <c r="F75" s="107"/>
      <c r="G75" s="107"/>
      <c r="H75" s="108"/>
      <c r="I75" s="108"/>
      <c r="J75" s="180"/>
      <c r="K75" s="91"/>
    </row>
    <row r="76" ht="12.75" hidden="1"/>
    <row r="78" spans="10:13" ht="12.75">
      <c r="J78" s="280"/>
      <c r="M78" s="282"/>
    </row>
    <row r="79" spans="10:13" ht="12.75">
      <c r="J79" s="280"/>
      <c r="M79" s="282"/>
    </row>
    <row r="80" ht="12.75">
      <c r="M80" s="280"/>
    </row>
  </sheetData>
  <sheetProtection/>
  <mergeCells count="1">
    <mergeCell ref="L14:S14"/>
  </mergeCells>
  <printOptions/>
  <pageMargins left="0.31496062992125984" right="0.1968503937007874" top="0.2755905511811024" bottom="0.1968503937007874" header="0.1968503937007874" footer="0.1968503937007874"/>
  <pageSetup fitToHeight="1" fitToWidth="1" horizontalDpi="600" verticalDpi="600" orientation="landscape" paperSize="9" scale="55" r:id="rId1"/>
  <headerFooter alignWithMargins="0">
    <oddFooter>&amp;L&amp;Z&amp;F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K10" sqref="K10:L22"/>
    </sheetView>
  </sheetViews>
  <sheetFormatPr defaultColWidth="9.140625" defaultRowHeight="12.75"/>
  <cols>
    <col min="1" max="1" width="5.7109375" style="0" customWidth="1"/>
    <col min="9" max="9" width="9.28125" style="0" customWidth="1"/>
    <col min="10" max="10" width="3.7109375" style="0" customWidth="1"/>
  </cols>
  <sheetData>
    <row r="1" ht="15.75">
      <c r="A1" s="1" t="s">
        <v>0</v>
      </c>
    </row>
    <row r="3" ht="12.75">
      <c r="A3" t="s">
        <v>25</v>
      </c>
    </row>
    <row r="4" ht="12.75">
      <c r="A4" t="s">
        <v>35</v>
      </c>
    </row>
    <row r="5" ht="12.75">
      <c r="B5" t="s">
        <v>28</v>
      </c>
    </row>
    <row r="6" ht="12.75">
      <c r="C6" s="25" t="s">
        <v>29</v>
      </c>
    </row>
    <row r="7" ht="12.75">
      <c r="B7" t="s">
        <v>26</v>
      </c>
    </row>
    <row r="8" ht="12.75">
      <c r="B8" t="s">
        <v>16</v>
      </c>
    </row>
    <row r="10" spans="1:12" ht="12.75">
      <c r="A10" s="23"/>
      <c r="E10" s="4"/>
      <c r="F10" s="3"/>
      <c r="G10" s="5" t="s">
        <v>23</v>
      </c>
      <c r="H10" s="5"/>
      <c r="I10" s="6"/>
      <c r="J10" s="2"/>
      <c r="K10" s="10" t="s">
        <v>20</v>
      </c>
      <c r="L10" s="10" t="s">
        <v>20</v>
      </c>
    </row>
    <row r="11" spans="5:12" ht="12.75">
      <c r="E11" s="7" t="s">
        <v>5</v>
      </c>
      <c r="F11" s="7" t="s">
        <v>11</v>
      </c>
      <c r="G11" s="7" t="s">
        <v>5</v>
      </c>
      <c r="H11" s="7" t="s">
        <v>14</v>
      </c>
      <c r="I11" s="7"/>
      <c r="J11" s="2"/>
      <c r="K11" s="11" t="s">
        <v>18</v>
      </c>
      <c r="L11" s="11" t="s">
        <v>21</v>
      </c>
    </row>
    <row r="12" spans="5:12" ht="12.75">
      <c r="E12" s="8" t="s">
        <v>6</v>
      </c>
      <c r="F12" s="8" t="s">
        <v>12</v>
      </c>
      <c r="G12" s="8" t="s">
        <v>13</v>
      </c>
      <c r="H12" s="8" t="s">
        <v>15</v>
      </c>
      <c r="I12" s="9" t="s">
        <v>17</v>
      </c>
      <c r="J12" s="2"/>
      <c r="K12" s="12" t="s">
        <v>19</v>
      </c>
      <c r="L12" s="12" t="s">
        <v>22</v>
      </c>
    </row>
    <row r="13" spans="1:12" ht="12.75">
      <c r="A13" t="s">
        <v>4</v>
      </c>
      <c r="E13" s="13"/>
      <c r="F13" s="13"/>
      <c r="G13" s="13"/>
      <c r="H13" s="13"/>
      <c r="I13" s="13"/>
      <c r="K13" s="18"/>
      <c r="L13" s="18"/>
    </row>
    <row r="14" spans="2:12" ht="12.75">
      <c r="B14" t="s">
        <v>1</v>
      </c>
      <c r="E14" s="14">
        <v>31.06</v>
      </c>
      <c r="F14" s="14">
        <v>29.44</v>
      </c>
      <c r="G14" s="14">
        <v>33.65</v>
      </c>
      <c r="H14" s="14">
        <v>39.28</v>
      </c>
      <c r="I14" s="16">
        <f>SUM(E14:H14)/4</f>
        <v>33.3575</v>
      </c>
      <c r="K14" s="19"/>
      <c r="L14" s="19"/>
    </row>
    <row r="15" spans="2:12" ht="12.75">
      <c r="B15" t="s">
        <v>2</v>
      </c>
      <c r="E15" s="14">
        <v>5.03</v>
      </c>
      <c r="F15" s="14">
        <v>5.28</v>
      </c>
      <c r="G15" s="14">
        <v>5.89</v>
      </c>
      <c r="H15" s="14">
        <v>5.87</v>
      </c>
      <c r="I15" s="16">
        <f>SUM(E15:H15)/4</f>
        <v>5.5175</v>
      </c>
      <c r="K15" s="19"/>
      <c r="L15" s="19"/>
    </row>
    <row r="16" spans="2:12" ht="12.75">
      <c r="B16" t="s">
        <v>3</v>
      </c>
      <c r="E16" s="14">
        <v>8.85</v>
      </c>
      <c r="F16" s="14">
        <v>8.15</v>
      </c>
      <c r="G16" s="14">
        <v>9.31</v>
      </c>
      <c r="H16" s="14">
        <v>8.37</v>
      </c>
      <c r="I16" s="16">
        <f>SUM(E16:H16)/4</f>
        <v>8.67</v>
      </c>
      <c r="K16" s="19"/>
      <c r="L16" s="19"/>
    </row>
    <row r="17" spans="5:12" ht="12.75">
      <c r="E17" s="14"/>
      <c r="F17" s="14"/>
      <c r="G17" s="14"/>
      <c r="H17" s="14"/>
      <c r="I17" s="17">
        <f>SUM(I14:I16)</f>
        <v>47.545</v>
      </c>
      <c r="K17" s="20">
        <f>I17*15000/100</f>
        <v>7131.75</v>
      </c>
      <c r="L17" s="19"/>
    </row>
    <row r="18" spans="1:12" ht="12.75">
      <c r="A18" t="s">
        <v>7</v>
      </c>
      <c r="E18" s="14"/>
      <c r="F18" s="14"/>
      <c r="G18" s="14"/>
      <c r="H18" s="14"/>
      <c r="I18" s="14"/>
      <c r="K18" s="19"/>
      <c r="L18" s="19"/>
    </row>
    <row r="19" spans="2:12" ht="12.75">
      <c r="B19" t="s">
        <v>8</v>
      </c>
      <c r="E19" s="14">
        <v>9.39</v>
      </c>
      <c r="F19" s="14">
        <v>9.88</v>
      </c>
      <c r="G19" s="14">
        <v>11.42</v>
      </c>
      <c r="H19" s="14">
        <v>11.42</v>
      </c>
      <c r="I19" s="16">
        <f>SUM(E19:H19)/4</f>
        <v>10.527500000000002</v>
      </c>
      <c r="K19" s="19"/>
      <c r="L19" s="19"/>
    </row>
    <row r="20" spans="2:12" ht="12.75">
      <c r="B20" t="s">
        <v>9</v>
      </c>
      <c r="E20" s="14">
        <v>1.03</v>
      </c>
      <c r="F20" s="14">
        <v>0.77</v>
      </c>
      <c r="G20" s="14">
        <v>2.06</v>
      </c>
      <c r="H20" s="14">
        <v>2.47</v>
      </c>
      <c r="I20" s="16">
        <f>SUM(E20:H20)/4</f>
        <v>1.5825</v>
      </c>
      <c r="K20" s="19"/>
      <c r="L20" s="19"/>
    </row>
    <row r="21" spans="2:12" ht="12.75">
      <c r="B21" t="s">
        <v>10</v>
      </c>
      <c r="E21" s="14">
        <v>2.53</v>
      </c>
      <c r="F21" s="14">
        <v>2.05</v>
      </c>
      <c r="G21" s="14">
        <v>2.74</v>
      </c>
      <c r="H21" s="14">
        <v>2.13</v>
      </c>
      <c r="I21" s="16">
        <f>SUM(E21:H21)/4</f>
        <v>2.3625</v>
      </c>
      <c r="K21" s="19"/>
      <c r="L21" s="19"/>
    </row>
    <row r="22" spans="5:12" ht="12.75">
      <c r="E22" s="15"/>
      <c r="F22" s="15"/>
      <c r="G22" s="15"/>
      <c r="H22" s="15"/>
      <c r="I22" s="17">
        <f>SUM(I19:I21)</f>
        <v>14.4725</v>
      </c>
      <c r="K22" s="21"/>
      <c r="L22" s="22">
        <f>I22/100*1000</f>
        <v>144.725</v>
      </c>
    </row>
    <row r="25" spans="1:12" ht="12.75">
      <c r="A25" t="s">
        <v>32</v>
      </c>
      <c r="K25" s="26"/>
      <c r="L25" s="27"/>
    </row>
    <row r="26" spans="1:12" ht="12.75">
      <c r="A26" t="s">
        <v>41</v>
      </c>
      <c r="K26" s="28">
        <v>7457</v>
      </c>
      <c r="L26" s="29">
        <v>145</v>
      </c>
    </row>
    <row r="27" spans="11:12" ht="12.75">
      <c r="K27" s="30"/>
      <c r="L27" s="3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     &amp;A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="80" zoomScaleNormal="80" zoomScalePageLayoutView="0" workbookViewId="0" topLeftCell="A4">
      <selection activeCell="BU51" sqref="BU51"/>
    </sheetView>
  </sheetViews>
  <sheetFormatPr defaultColWidth="9.140625" defaultRowHeight="12.75"/>
  <cols>
    <col min="1" max="1" width="56.28125" style="80" customWidth="1"/>
    <col min="2" max="2" width="9.28125" style="80" bestFit="1" customWidth="1"/>
    <col min="3" max="3" width="11.421875" style="80" bestFit="1" customWidth="1"/>
    <col min="4" max="4" width="11.00390625" style="80" customWidth="1"/>
    <col min="5" max="5" width="13.00390625" style="80" bestFit="1" customWidth="1"/>
    <col min="6" max="6" width="13.421875" style="80" customWidth="1"/>
    <col min="7" max="7" width="13.00390625" style="80" bestFit="1" customWidth="1"/>
    <col min="8" max="8" width="14.140625" style="80" customWidth="1"/>
    <col min="9" max="9" width="14.8515625" style="80" customWidth="1"/>
    <col min="10" max="10" width="12.57421875" style="80" customWidth="1"/>
    <col min="11" max="11" width="11.28125" style="80" customWidth="1"/>
    <col min="12" max="12" width="11.28125" style="80" bestFit="1" customWidth="1"/>
    <col min="13" max="13" width="10.140625" style="80" bestFit="1" customWidth="1"/>
    <col min="14" max="14" width="9.140625" style="80" customWidth="1"/>
    <col min="15" max="15" width="9.8515625" style="80" bestFit="1" customWidth="1"/>
    <col min="16" max="16" width="11.421875" style="80" customWidth="1"/>
    <col min="17" max="17" width="12.7109375" style="80" bestFit="1" customWidth="1"/>
    <col min="18" max="18" width="15.57421875" style="80" customWidth="1"/>
    <col min="19" max="19" width="2.7109375" style="80" customWidth="1"/>
    <col min="20" max="16384" width="9.140625" style="80" customWidth="1"/>
  </cols>
  <sheetData>
    <row r="1" ht="18">
      <c r="A1" s="196" t="s">
        <v>181</v>
      </c>
    </row>
    <row r="3" spans="1:11" ht="18" customHeight="1">
      <c r="A3" s="197" t="s">
        <v>182</v>
      </c>
      <c r="B3" s="185"/>
      <c r="C3" s="185"/>
      <c r="D3" s="185"/>
      <c r="E3" s="185"/>
      <c r="F3" s="185"/>
      <c r="G3" s="185"/>
      <c r="H3" s="185"/>
      <c r="I3" s="185"/>
      <c r="J3" s="185"/>
      <c r="K3" s="80">
        <f>150/52*100</f>
        <v>288.46153846153845</v>
      </c>
    </row>
    <row r="4" spans="1:10" ht="12.75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1" ht="15" customHeight="1">
      <c r="A5" s="186" t="s">
        <v>63</v>
      </c>
      <c r="B5" s="186"/>
      <c r="C5" s="186"/>
      <c r="D5" s="186"/>
      <c r="E5" s="186"/>
      <c r="F5" s="186"/>
      <c r="G5" s="186"/>
      <c r="H5" s="272"/>
      <c r="I5" s="272"/>
      <c r="J5" s="137"/>
      <c r="K5" s="137"/>
    </row>
    <row r="6" spans="1:11" ht="15.75" customHeight="1">
      <c r="A6" s="187" t="s">
        <v>87</v>
      </c>
      <c r="B6" s="186"/>
      <c r="C6" s="186"/>
      <c r="D6" s="186"/>
      <c r="E6" s="186"/>
      <c r="F6" s="186"/>
      <c r="G6" s="186"/>
      <c r="H6" s="272"/>
      <c r="I6" s="272"/>
      <c r="J6" s="273"/>
      <c r="K6" s="91"/>
    </row>
    <row r="7" spans="1:13" ht="15" customHeight="1">
      <c r="A7" s="186"/>
      <c r="B7" s="186"/>
      <c r="C7" s="186"/>
      <c r="D7" s="186"/>
      <c r="E7" s="186"/>
      <c r="F7" s="186"/>
      <c r="G7" s="186"/>
      <c r="H7" s="274"/>
      <c r="I7" s="272"/>
      <c r="J7" s="275"/>
      <c r="K7" s="275"/>
      <c r="M7" s="256" t="s">
        <v>65</v>
      </c>
    </row>
    <row r="8" spans="1:13" ht="15.75" customHeight="1">
      <c r="A8" s="188" t="s">
        <v>62</v>
      </c>
      <c r="B8" s="186"/>
      <c r="C8" s="186"/>
      <c r="D8" s="186"/>
      <c r="E8" s="186"/>
      <c r="F8" s="186"/>
      <c r="G8" s="186"/>
      <c r="H8" s="274"/>
      <c r="I8" s="272"/>
      <c r="J8" s="275"/>
      <c r="K8" s="275"/>
      <c r="M8" s="256" t="s">
        <v>65</v>
      </c>
    </row>
    <row r="9" spans="1:12" ht="15" customHeight="1">
      <c r="A9" s="186" t="s">
        <v>59</v>
      </c>
      <c r="B9" s="186"/>
      <c r="C9" s="186"/>
      <c r="D9" s="186"/>
      <c r="E9" s="189" t="s">
        <v>65</v>
      </c>
      <c r="F9" s="186"/>
      <c r="G9" s="186"/>
      <c r="H9" s="272"/>
      <c r="I9" s="272"/>
      <c r="J9" s="276"/>
      <c r="K9" s="276"/>
      <c r="L9" s="268" t="s">
        <v>65</v>
      </c>
    </row>
    <row r="10" spans="1:10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ht="13.5" thickBot="1"/>
    <row r="13" spans="1:22" ht="12.75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L13" s="151"/>
      <c r="M13" s="152"/>
      <c r="N13" s="152"/>
      <c r="O13" s="152"/>
      <c r="P13" s="153"/>
      <c r="Q13" s="153"/>
      <c r="R13" s="153"/>
      <c r="S13" s="154"/>
      <c r="T13" s="114"/>
      <c r="U13" s="110"/>
      <c r="V13" s="110"/>
    </row>
    <row r="14" spans="1:22" ht="15">
      <c r="A14" s="198" t="s">
        <v>197</v>
      </c>
      <c r="B14" s="91"/>
      <c r="C14" s="91"/>
      <c r="D14" s="82"/>
      <c r="E14" s="83"/>
      <c r="F14" s="181" t="s">
        <v>196</v>
      </c>
      <c r="G14" s="84"/>
      <c r="H14" s="85"/>
      <c r="I14" s="232"/>
      <c r="J14" s="122"/>
      <c r="L14" s="283" t="s">
        <v>76</v>
      </c>
      <c r="M14" s="284"/>
      <c r="N14" s="284"/>
      <c r="O14" s="284"/>
      <c r="P14" s="284"/>
      <c r="Q14" s="284"/>
      <c r="R14" s="284"/>
      <c r="S14" s="285"/>
      <c r="T14" s="114"/>
      <c r="U14" s="112"/>
      <c r="V14" s="113"/>
    </row>
    <row r="15" spans="1:22" ht="33.75">
      <c r="A15" s="123"/>
      <c r="B15" s="91"/>
      <c r="C15" s="91"/>
      <c r="D15" s="248" t="s">
        <v>180</v>
      </c>
      <c r="E15" s="248" t="s">
        <v>147</v>
      </c>
      <c r="F15" s="248" t="s">
        <v>194</v>
      </c>
      <c r="G15" s="248" t="s">
        <v>149</v>
      </c>
      <c r="H15" s="252" t="s">
        <v>191</v>
      </c>
      <c r="I15" s="252" t="s">
        <v>170</v>
      </c>
      <c r="J15" s="122"/>
      <c r="K15" s="87"/>
      <c r="L15" s="159"/>
      <c r="M15" s="156"/>
      <c r="N15" s="166"/>
      <c r="O15" s="165" t="s">
        <v>67</v>
      </c>
      <c r="P15" s="165" t="s">
        <v>68</v>
      </c>
      <c r="Q15" s="165"/>
      <c r="R15" s="165" t="s">
        <v>102</v>
      </c>
      <c r="S15" s="158"/>
      <c r="T15" s="114"/>
      <c r="U15" s="113"/>
      <c r="V15" s="113"/>
    </row>
    <row r="16" spans="1:22" ht="12.75">
      <c r="A16" s="121" t="s">
        <v>72</v>
      </c>
      <c r="B16" s="91"/>
      <c r="C16" s="91"/>
      <c r="D16" s="90"/>
      <c r="E16" s="90"/>
      <c r="F16" s="90"/>
      <c r="G16" s="90"/>
      <c r="H16" s="90"/>
      <c r="I16" s="90"/>
      <c r="J16" s="124"/>
      <c r="K16" s="91"/>
      <c r="L16" s="204" t="s">
        <v>103</v>
      </c>
      <c r="M16" s="156"/>
      <c r="N16" s="165" t="s">
        <v>66</v>
      </c>
      <c r="O16" s="165" t="s">
        <v>70</v>
      </c>
      <c r="P16" s="165" t="s">
        <v>69</v>
      </c>
      <c r="Q16" s="165"/>
      <c r="R16" s="165" t="s">
        <v>101</v>
      </c>
      <c r="S16" s="158"/>
      <c r="T16" s="114"/>
      <c r="U16" s="114"/>
      <c r="V16" s="114"/>
    </row>
    <row r="17" spans="1:22" ht="15">
      <c r="A17" s="123" t="s">
        <v>64</v>
      </c>
      <c r="C17" s="91" t="s">
        <v>111</v>
      </c>
      <c r="D17" s="131">
        <f>169.53/K3*100</f>
        <v>58.7704</v>
      </c>
      <c r="E17" s="131">
        <f>182.98/K3*100</f>
        <v>63.43306666666666</v>
      </c>
      <c r="F17" s="131">
        <f>174.82/K3*100</f>
        <v>60.60426666666666</v>
      </c>
      <c r="G17" s="131">
        <f>201.98/K3*100</f>
        <v>70.01973333333333</v>
      </c>
      <c r="H17" s="92">
        <f>AVERAGE(D17:G17)</f>
        <v>63.20686666666666</v>
      </c>
      <c r="I17" s="92">
        <v>59.17</v>
      </c>
      <c r="J17" s="124"/>
      <c r="L17" s="155"/>
      <c r="M17" s="160">
        <v>2011</v>
      </c>
      <c r="N17" s="171">
        <f>N23</f>
        <v>7747</v>
      </c>
      <c r="O17" s="167">
        <f>O23</f>
        <v>246</v>
      </c>
      <c r="P17" s="169">
        <v>0.78</v>
      </c>
      <c r="Q17" s="206"/>
      <c r="R17" s="220">
        <f>N17+O17*15</f>
        <v>11437</v>
      </c>
      <c r="S17" s="158"/>
      <c r="T17" s="114"/>
      <c r="U17" s="114"/>
      <c r="V17" s="114"/>
    </row>
    <row r="18" spans="1:22" ht="15" thickBot="1">
      <c r="A18" s="123"/>
      <c r="C18" s="91"/>
      <c r="D18" s="131"/>
      <c r="E18" s="131"/>
      <c r="F18" s="131"/>
      <c r="G18" s="131"/>
      <c r="H18" s="92"/>
      <c r="I18" s="92"/>
      <c r="J18" s="124"/>
      <c r="L18" s="161"/>
      <c r="M18" s="182"/>
      <c r="N18" s="162"/>
      <c r="O18" s="261" t="s">
        <v>65</v>
      </c>
      <c r="P18" s="162"/>
      <c r="Q18" s="162"/>
      <c r="R18" s="221" t="s">
        <v>65</v>
      </c>
      <c r="S18" s="163"/>
      <c r="T18" s="114"/>
      <c r="U18" s="114"/>
      <c r="V18" s="114"/>
    </row>
    <row r="19" spans="1:22" ht="14.25">
      <c r="A19" s="123"/>
      <c r="C19" s="91"/>
      <c r="D19" s="131"/>
      <c r="E19" s="131"/>
      <c r="F19" s="131"/>
      <c r="G19" s="131"/>
      <c r="H19" s="92"/>
      <c r="I19" s="92"/>
      <c r="J19" s="124"/>
      <c r="L19" s="183" t="s">
        <v>86</v>
      </c>
      <c r="M19" s="146"/>
      <c r="N19" s="139"/>
      <c r="O19" s="139"/>
      <c r="P19" s="139"/>
      <c r="Q19" s="139"/>
      <c r="R19" s="222"/>
      <c r="S19" s="140"/>
      <c r="T19" s="114"/>
      <c r="U19" s="114"/>
      <c r="V19" s="114"/>
    </row>
    <row r="20" spans="1:22" ht="15">
      <c r="A20" s="123"/>
      <c r="C20" s="91"/>
      <c r="D20" s="131"/>
      <c r="E20" s="132"/>
      <c r="F20" s="131"/>
      <c r="G20" s="131"/>
      <c r="H20" s="172">
        <f>SUM(H17:H19)</f>
        <v>63.20686666666666</v>
      </c>
      <c r="I20" s="177">
        <v>59.47</v>
      </c>
      <c r="J20" s="124"/>
      <c r="L20" s="138"/>
      <c r="M20" s="143">
        <v>2010</v>
      </c>
      <c r="N20" s="144">
        <v>7747</v>
      </c>
      <c r="O20" s="144">
        <v>246</v>
      </c>
      <c r="P20" s="145">
        <v>0.78</v>
      </c>
      <c r="Q20" s="205"/>
      <c r="R20" s="223">
        <f>N20+O20*15</f>
        <v>11437</v>
      </c>
      <c r="S20" s="140"/>
      <c r="T20" s="114"/>
      <c r="U20" s="115"/>
      <c r="V20" s="114"/>
    </row>
    <row r="21" spans="1:22" ht="15">
      <c r="A21" s="121" t="s">
        <v>7</v>
      </c>
      <c r="C21" s="91"/>
      <c r="D21" s="131"/>
      <c r="E21" s="131"/>
      <c r="F21" s="131"/>
      <c r="G21" s="131"/>
      <c r="H21" s="92"/>
      <c r="I21" s="92"/>
      <c r="J21" s="124"/>
      <c r="L21" s="138"/>
      <c r="M21" s="143"/>
      <c r="N21" s="223"/>
      <c r="O21" s="223"/>
      <c r="P21" s="205"/>
      <c r="Q21" s="205"/>
      <c r="R21" s="223"/>
      <c r="S21" s="140"/>
      <c r="T21" s="114"/>
      <c r="U21" s="114"/>
      <c r="V21" s="114"/>
    </row>
    <row r="22" spans="1:22" ht="12.75">
      <c r="A22" s="123"/>
      <c r="C22" s="91" t="s">
        <v>111</v>
      </c>
      <c r="D22" s="131">
        <v>19.07</v>
      </c>
      <c r="E22" s="131">
        <v>20</v>
      </c>
      <c r="F22" s="131">
        <v>19.4</v>
      </c>
      <c r="G22" s="131">
        <v>17.43</v>
      </c>
      <c r="H22" s="92">
        <f>AVERAGE(D22:G22)</f>
        <v>18.975</v>
      </c>
      <c r="I22" s="92">
        <v>17.86</v>
      </c>
      <c r="J22" s="124"/>
      <c r="L22" s="138"/>
      <c r="M22" s="271"/>
      <c r="N22" s="271"/>
      <c r="O22" s="271"/>
      <c r="P22" s="271"/>
      <c r="Q22" s="271"/>
      <c r="R22" s="271"/>
      <c r="S22" s="140"/>
      <c r="T22" s="114"/>
      <c r="U22" s="114"/>
      <c r="V22" s="114"/>
    </row>
    <row r="23" spans="1:22" ht="15">
      <c r="A23" s="123" t="s">
        <v>193</v>
      </c>
      <c r="B23" s="91"/>
      <c r="C23" s="91"/>
      <c r="D23" s="131"/>
      <c r="E23" s="131"/>
      <c r="F23" s="131"/>
      <c r="G23" s="131"/>
      <c r="H23" s="92"/>
      <c r="I23" s="92"/>
      <c r="J23" s="124"/>
      <c r="L23" s="138"/>
      <c r="M23" s="143">
        <v>2009</v>
      </c>
      <c r="N23" s="144">
        <v>7747</v>
      </c>
      <c r="O23" s="144">
        <v>246</v>
      </c>
      <c r="P23" s="145">
        <v>0.78</v>
      </c>
      <c r="Q23" s="205"/>
      <c r="R23" s="223">
        <f>N23+O23*15</f>
        <v>11437</v>
      </c>
      <c r="S23" s="140"/>
      <c r="U23" s="114"/>
      <c r="V23" s="114"/>
    </row>
    <row r="24" spans="1:22" ht="12.75">
      <c r="A24" s="247" t="s">
        <v>65</v>
      </c>
      <c r="B24" s="91"/>
      <c r="C24" s="91"/>
      <c r="D24" s="131"/>
      <c r="E24" s="131"/>
      <c r="F24" s="131"/>
      <c r="G24" s="131"/>
      <c r="H24" s="92"/>
      <c r="I24" s="92"/>
      <c r="J24" s="124"/>
      <c r="L24" s="138"/>
      <c r="M24" s="139"/>
      <c r="N24" s="139"/>
      <c r="O24" s="139"/>
      <c r="P24" s="139"/>
      <c r="Q24" s="139"/>
      <c r="R24" s="139"/>
      <c r="S24" s="140"/>
      <c r="U24" s="114"/>
      <c r="V24" s="114"/>
    </row>
    <row r="25" spans="1:22" ht="12.75">
      <c r="A25" s="123"/>
      <c r="B25" s="91"/>
      <c r="C25" s="91"/>
      <c r="D25" s="93"/>
      <c r="E25" s="93"/>
      <c r="F25" s="93"/>
      <c r="G25" s="93"/>
      <c r="H25" s="168">
        <f>SUM(H22:H24)</f>
        <v>18.975</v>
      </c>
      <c r="I25" s="177">
        <v>17.86</v>
      </c>
      <c r="J25" s="124"/>
      <c r="L25" s="235" t="s">
        <v>65</v>
      </c>
      <c r="M25" s="139"/>
      <c r="N25" s="139"/>
      <c r="O25" s="139"/>
      <c r="P25" s="139"/>
      <c r="Q25" s="139"/>
      <c r="R25" s="139"/>
      <c r="S25" s="140"/>
      <c r="T25" s="114"/>
      <c r="U25" s="115"/>
      <c r="V25" s="117"/>
    </row>
    <row r="26" spans="1:20" ht="15">
      <c r="A26" s="123"/>
      <c r="B26" s="91"/>
      <c r="C26" s="91"/>
      <c r="D26" s="91"/>
      <c r="E26" s="91"/>
      <c r="F26" s="91"/>
      <c r="G26" s="91"/>
      <c r="H26" s="91"/>
      <c r="I26" s="91"/>
      <c r="J26" s="124"/>
      <c r="L26" s="138"/>
      <c r="M26" s="143">
        <v>2008</v>
      </c>
      <c r="N26" s="144">
        <v>7457</v>
      </c>
      <c r="O26" s="144">
        <v>233</v>
      </c>
      <c r="P26" s="145">
        <v>0.75</v>
      </c>
      <c r="Q26" s="205"/>
      <c r="R26" s="223">
        <f>N26+O26*15</f>
        <v>10952</v>
      </c>
      <c r="S26" s="140"/>
      <c r="T26" s="114"/>
    </row>
    <row r="27" spans="1:20" ht="14.25">
      <c r="A27" s="121" t="s">
        <v>183</v>
      </c>
      <c r="B27" s="95"/>
      <c r="C27" s="95"/>
      <c r="D27" s="125">
        <f>SUM(D17:D24)</f>
        <v>77.8404</v>
      </c>
      <c r="E27" s="125">
        <f>SUM(E17:E24)</f>
        <v>83.43306666666666</v>
      </c>
      <c r="F27" s="125">
        <f>SUM(F17:F24)</f>
        <v>80.00426666666667</v>
      </c>
      <c r="G27" s="125">
        <f>SUM(G17:G24)</f>
        <v>87.44973333333334</v>
      </c>
      <c r="H27" s="126">
        <f>SUM(H20:H24)</f>
        <v>82.18186666666666</v>
      </c>
      <c r="I27" s="192">
        <v>77.02</v>
      </c>
      <c r="J27" s="124"/>
      <c r="L27" s="138"/>
      <c r="M27" s="146"/>
      <c r="N27" s="142"/>
      <c r="O27" s="142"/>
      <c r="P27" s="142"/>
      <c r="Q27" s="142"/>
      <c r="R27" s="224"/>
      <c r="S27" s="140"/>
      <c r="T27" s="114"/>
    </row>
    <row r="28" spans="1:19" ht="14.25">
      <c r="A28" s="121"/>
      <c r="B28" s="95"/>
      <c r="C28" s="95"/>
      <c r="D28" s="125"/>
      <c r="E28" s="125"/>
      <c r="F28" s="125"/>
      <c r="G28" s="125"/>
      <c r="H28" s="134"/>
      <c r="I28" s="134"/>
      <c r="J28" s="124"/>
      <c r="K28" s="111"/>
      <c r="L28" s="138"/>
      <c r="M28" s="146"/>
      <c r="N28" s="142"/>
      <c r="O28" s="142"/>
      <c r="P28" s="142"/>
      <c r="Q28" s="142"/>
      <c r="R28" s="224"/>
      <c r="S28" s="140"/>
    </row>
    <row r="29" spans="1:19" ht="15">
      <c r="A29" s="130" t="s">
        <v>184</v>
      </c>
      <c r="B29" s="135"/>
      <c r="C29" s="135"/>
      <c r="D29" s="136">
        <f>D27*(15000/52)/100</f>
        <v>224.5396153846154</v>
      </c>
      <c r="E29" s="136">
        <f>E27*(15000/52)/100</f>
        <v>240.67230769230767</v>
      </c>
      <c r="F29" s="136">
        <f>F27*(15000/52)/100</f>
        <v>230.78153846153845</v>
      </c>
      <c r="G29" s="136">
        <f>G27*(15000/52)/100</f>
        <v>252.25884615384618</v>
      </c>
      <c r="H29" s="170">
        <f>H27*(15000/52)/100</f>
        <v>237.06307692307692</v>
      </c>
      <c r="I29" s="193">
        <v>222.18</v>
      </c>
      <c r="J29" s="124"/>
      <c r="K29" s="111"/>
      <c r="L29" s="138"/>
      <c r="M29" s="143">
        <v>2007</v>
      </c>
      <c r="N29" s="144">
        <v>7457</v>
      </c>
      <c r="O29" s="144">
        <v>233</v>
      </c>
      <c r="P29" s="145">
        <v>0.75</v>
      </c>
      <c r="Q29" s="205"/>
      <c r="R29" s="223">
        <f>N29+O29*15</f>
        <v>10952</v>
      </c>
      <c r="S29" s="140"/>
    </row>
    <row r="30" spans="1:19" ht="15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9"/>
      <c r="L30" s="138"/>
      <c r="M30" s="146"/>
      <c r="N30" s="142"/>
      <c r="O30" s="142"/>
      <c r="P30" s="142"/>
      <c r="Q30" s="142"/>
      <c r="R30" s="224"/>
      <c r="S30" s="140"/>
    </row>
    <row r="31" spans="12:19" ht="14.25">
      <c r="L31" s="138"/>
      <c r="M31" s="146"/>
      <c r="N31" s="142"/>
      <c r="O31" s="142"/>
      <c r="P31" s="142"/>
      <c r="Q31" s="142"/>
      <c r="R31" s="224"/>
      <c r="S31" s="140"/>
    </row>
    <row r="32" spans="12:19" ht="15">
      <c r="L32" s="138"/>
      <c r="M32" s="143">
        <v>2006</v>
      </c>
      <c r="N32" s="144">
        <v>7457</v>
      </c>
      <c r="O32" s="144">
        <v>158</v>
      </c>
      <c r="P32" s="145">
        <v>0.65</v>
      </c>
      <c r="Q32" s="205"/>
      <c r="R32" s="223">
        <f>N32+O32*15</f>
        <v>9827</v>
      </c>
      <c r="S32" s="140"/>
    </row>
    <row r="33" spans="12:19" ht="15" thickBot="1">
      <c r="L33" s="235" t="s">
        <v>65</v>
      </c>
      <c r="M33" s="146"/>
      <c r="N33" s="142"/>
      <c r="O33" s="142"/>
      <c r="P33" s="142"/>
      <c r="Q33" s="142"/>
      <c r="R33" s="224"/>
      <c r="S33" s="140"/>
    </row>
    <row r="34" spans="1:19" ht="13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  <c r="L34" s="138"/>
      <c r="M34" s="146"/>
      <c r="N34" s="142"/>
      <c r="O34" s="142"/>
      <c r="P34" s="142"/>
      <c r="Q34" s="142"/>
      <c r="R34" s="224"/>
      <c r="S34" s="140"/>
    </row>
    <row r="35" spans="1:19" ht="15">
      <c r="A35" s="198" t="s">
        <v>198</v>
      </c>
      <c r="B35" s="91"/>
      <c r="C35" s="91"/>
      <c r="D35" s="82"/>
      <c r="E35" s="83"/>
      <c r="F35" s="181" t="s">
        <v>195</v>
      </c>
      <c r="G35" s="84"/>
      <c r="H35" s="85"/>
      <c r="I35" s="85"/>
      <c r="J35" s="122"/>
      <c r="L35" s="138"/>
      <c r="M35" s="143">
        <v>2005</v>
      </c>
      <c r="N35" s="144">
        <v>7457</v>
      </c>
      <c r="O35" s="144">
        <v>145</v>
      </c>
      <c r="P35" s="145">
        <v>0.65</v>
      </c>
      <c r="Q35" s="205"/>
      <c r="R35" s="223">
        <f>N35+O35*15</f>
        <v>9632</v>
      </c>
      <c r="S35" s="140"/>
    </row>
    <row r="36" spans="1:19" ht="33.75">
      <c r="A36" s="123" t="s">
        <v>192</v>
      </c>
      <c r="B36" s="91"/>
      <c r="C36" s="91"/>
      <c r="D36" s="248" t="s">
        <v>180</v>
      </c>
      <c r="E36" s="248" t="s">
        <v>147</v>
      </c>
      <c r="F36" s="248" t="s">
        <v>148</v>
      </c>
      <c r="G36" s="248" t="s">
        <v>149</v>
      </c>
      <c r="H36" s="249" t="s">
        <v>191</v>
      </c>
      <c r="I36" s="249" t="s">
        <v>170</v>
      </c>
      <c r="J36" s="122"/>
      <c r="L36" s="138"/>
      <c r="M36" s="146"/>
      <c r="N36" s="142"/>
      <c r="O36" s="142"/>
      <c r="P36" s="142"/>
      <c r="Q36" s="142"/>
      <c r="R36" s="224"/>
      <c r="S36" s="140"/>
    </row>
    <row r="37" spans="1:19" ht="15">
      <c r="A37" s="121" t="s">
        <v>65</v>
      </c>
      <c r="B37" s="91"/>
      <c r="C37" s="91"/>
      <c r="D37" s="90" t="s">
        <v>65</v>
      </c>
      <c r="E37" s="90"/>
      <c r="F37" s="90"/>
      <c r="G37" s="90"/>
      <c r="H37" s="90"/>
      <c r="I37" s="90"/>
      <c r="J37" s="124"/>
      <c r="L37" s="141"/>
      <c r="M37" s="143">
        <v>2004</v>
      </c>
      <c r="N37" s="144">
        <v>7457</v>
      </c>
      <c r="O37" s="144">
        <v>145</v>
      </c>
      <c r="P37" s="145">
        <v>0.65</v>
      </c>
      <c r="Q37" s="205"/>
      <c r="R37" s="223">
        <f>N37+O37*15</f>
        <v>9632</v>
      </c>
      <c r="S37" s="140"/>
    </row>
    <row r="38" spans="1:19" ht="13.5" thickBot="1">
      <c r="A38" s="121" t="s">
        <v>96</v>
      </c>
      <c r="B38" s="91" t="s">
        <v>65</v>
      </c>
      <c r="C38" s="91"/>
      <c r="D38" s="199">
        <v>202.12</v>
      </c>
      <c r="E38" s="199">
        <v>196.78</v>
      </c>
      <c r="F38" s="199">
        <v>195.97</v>
      </c>
      <c r="G38" s="199">
        <v>213.54</v>
      </c>
      <c r="H38" s="200">
        <f>AVERAGE(D38:G38)</f>
        <v>202.1025</v>
      </c>
      <c r="I38" s="201">
        <v>225.63</v>
      </c>
      <c r="J38" s="124"/>
      <c r="L38" s="148"/>
      <c r="M38" s="149"/>
      <c r="N38" s="149"/>
      <c r="O38" s="149"/>
      <c r="P38" s="149"/>
      <c r="Q38" s="149"/>
      <c r="R38" s="149"/>
      <c r="S38" s="150"/>
    </row>
    <row r="39" spans="1:10" ht="12.75">
      <c r="A39" s="123"/>
      <c r="B39" s="91"/>
      <c r="C39" s="91"/>
      <c r="D39" s="91"/>
      <c r="E39" s="91"/>
      <c r="F39" s="91"/>
      <c r="G39" s="91"/>
      <c r="H39" s="91"/>
      <c r="I39" s="91"/>
      <c r="J39" s="124"/>
    </row>
    <row r="40" spans="1:10" ht="13.5" thickBot="1">
      <c r="A40" s="121" t="s">
        <v>185</v>
      </c>
      <c r="B40" s="95"/>
      <c r="C40" s="95"/>
      <c r="D40" s="125">
        <f>D38/15000*52*100</f>
        <v>70.06826666666667</v>
      </c>
      <c r="E40" s="125">
        <f>E38/15000*52*100</f>
        <v>68.21706666666667</v>
      </c>
      <c r="F40" s="125">
        <f>F38/15000*52*100</f>
        <v>67.93626666666667</v>
      </c>
      <c r="G40" s="125">
        <f>G38/15000*52*100</f>
        <v>74.0272</v>
      </c>
      <c r="H40" s="126">
        <f>AVERAGE(D40:G40)</f>
        <v>70.0622</v>
      </c>
      <c r="I40" s="192">
        <v>78.22</v>
      </c>
      <c r="J40" s="124"/>
    </row>
    <row r="41" spans="1:19" ht="12.75">
      <c r="A41" s="121"/>
      <c r="B41" s="95"/>
      <c r="C41" s="95"/>
      <c r="D41" s="125"/>
      <c r="E41" s="125"/>
      <c r="F41" s="125"/>
      <c r="G41" s="125"/>
      <c r="H41" s="134"/>
      <c r="I41" s="133"/>
      <c r="J41" s="124"/>
      <c r="L41" s="151"/>
      <c r="M41" s="152"/>
      <c r="N41" s="152"/>
      <c r="O41" s="152"/>
      <c r="P41" s="152"/>
      <c r="Q41" s="152"/>
      <c r="R41" s="152"/>
      <c r="S41" s="154"/>
    </row>
    <row r="42" spans="1:19" ht="15">
      <c r="A42" s="130" t="s">
        <v>186</v>
      </c>
      <c r="B42" s="135"/>
      <c r="C42" s="135"/>
      <c r="D42" s="136">
        <f>D40*(15000/52)/100</f>
        <v>202.12</v>
      </c>
      <c r="E42" s="136">
        <f>E40*(15000/52)/100</f>
        <v>196.78</v>
      </c>
      <c r="F42" s="136">
        <f>F40*(15000/52)/100</f>
        <v>195.97</v>
      </c>
      <c r="G42" s="136">
        <f>G40*(15000/52)/100</f>
        <v>213.53999999999996</v>
      </c>
      <c r="H42" s="170">
        <f>H40*(15000/52)/100</f>
        <v>202.1025</v>
      </c>
      <c r="I42" s="193">
        <v>225.63</v>
      </c>
      <c r="J42" s="124"/>
      <c r="L42" s="204" t="s">
        <v>99</v>
      </c>
      <c r="M42" s="156"/>
      <c r="N42" s="156"/>
      <c r="O42" s="156"/>
      <c r="P42" s="156"/>
      <c r="Q42" s="156"/>
      <c r="R42" s="156"/>
      <c r="S42" s="158"/>
    </row>
    <row r="43" spans="1:19" ht="13.5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9"/>
      <c r="K43" s="94"/>
      <c r="L43" s="161"/>
      <c r="M43" s="162"/>
      <c r="N43" s="162"/>
      <c r="O43" s="162"/>
      <c r="P43" s="162"/>
      <c r="Q43" s="162"/>
      <c r="R43" s="162"/>
      <c r="S43" s="163"/>
    </row>
    <row r="44" spans="1:19" ht="12.75">
      <c r="A44" s="91"/>
      <c r="B44" s="91"/>
      <c r="C44" s="91"/>
      <c r="D44" s="91"/>
      <c r="E44" s="91"/>
      <c r="F44" s="91"/>
      <c r="G44" s="91"/>
      <c r="H44" s="266" t="s">
        <v>65</v>
      </c>
      <c r="I44" s="91"/>
      <c r="J44" s="91"/>
      <c r="K44" s="94"/>
      <c r="L44" s="207"/>
      <c r="M44" s="210">
        <v>2011</v>
      </c>
      <c r="N44" s="264"/>
      <c r="O44" s="210">
        <v>2010</v>
      </c>
      <c r="P44" s="259"/>
      <c r="Q44" s="210" t="s">
        <v>100</v>
      </c>
      <c r="R44" s="259"/>
      <c r="S44" s="211"/>
    </row>
    <row r="45" spans="1:19" ht="15.75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4"/>
      <c r="L45" s="212" t="s">
        <v>66</v>
      </c>
      <c r="M45" s="218">
        <f>N17</f>
        <v>7747</v>
      </c>
      <c r="N45" s="260"/>
      <c r="O45" s="218">
        <f>N23</f>
        <v>7747</v>
      </c>
      <c r="P45" s="259"/>
      <c r="Q45" s="213">
        <f>(M45-O45)/O45</f>
        <v>0</v>
      </c>
      <c r="R45" s="259"/>
      <c r="S45" s="211"/>
    </row>
    <row r="46" spans="1:19" ht="15">
      <c r="A46" s="118"/>
      <c r="B46" s="119"/>
      <c r="C46" s="119"/>
      <c r="D46" s="119"/>
      <c r="E46" s="119"/>
      <c r="F46" s="119"/>
      <c r="G46" s="119"/>
      <c r="H46" s="119"/>
      <c r="I46" s="119"/>
      <c r="J46" s="120"/>
      <c r="K46" s="94"/>
      <c r="L46" s="212" t="s">
        <v>67</v>
      </c>
      <c r="M46" s="218">
        <f>O17*15</f>
        <v>3690</v>
      </c>
      <c r="N46" s="260"/>
      <c r="O46" s="218">
        <f>O23*15</f>
        <v>3690</v>
      </c>
      <c r="P46" s="259"/>
      <c r="Q46" s="213">
        <f>(M46-O46)/O46</f>
        <v>0</v>
      </c>
      <c r="R46" s="259"/>
      <c r="S46" s="211"/>
    </row>
    <row r="47" spans="1:19" ht="15">
      <c r="A47" s="198" t="s">
        <v>187</v>
      </c>
      <c r="B47" s="91"/>
      <c r="C47" s="91"/>
      <c r="D47" s="91"/>
      <c r="E47" s="91"/>
      <c r="F47" s="91"/>
      <c r="G47" s="91"/>
      <c r="H47" s="137" t="s">
        <v>191</v>
      </c>
      <c r="I47" s="137" t="s">
        <v>170</v>
      </c>
      <c r="J47" s="124"/>
      <c r="K47" s="94"/>
      <c r="L47" s="212"/>
      <c r="M47" s="262">
        <f>SUM(M45:M46)</f>
        <v>11437</v>
      </c>
      <c r="N47" s="263"/>
      <c r="O47" s="262">
        <f>SUM(O45:O46)</f>
        <v>11437</v>
      </c>
      <c r="P47" s="259"/>
      <c r="Q47" s="213">
        <f>(M47-O47)/O47</f>
        <v>0</v>
      </c>
      <c r="R47" s="259"/>
      <c r="S47" s="211"/>
    </row>
    <row r="48" spans="1:19" ht="14.25">
      <c r="A48" s="123"/>
      <c r="B48" s="91"/>
      <c r="C48" s="91"/>
      <c r="D48" s="91"/>
      <c r="E48" s="91"/>
      <c r="F48" s="91"/>
      <c r="G48" s="91"/>
      <c r="H48" s="91"/>
      <c r="I48" s="91"/>
      <c r="J48" s="124"/>
      <c r="K48" s="94"/>
      <c r="L48" s="212"/>
      <c r="M48" s="218"/>
      <c r="N48" s="260"/>
      <c r="O48" s="218"/>
      <c r="P48" s="259"/>
      <c r="Q48" s="214"/>
      <c r="R48" s="259"/>
      <c r="S48" s="211"/>
    </row>
    <row r="49" spans="1:19" ht="15">
      <c r="A49" s="121" t="s">
        <v>188</v>
      </c>
      <c r="B49" s="91"/>
      <c r="C49" s="91"/>
      <c r="D49" s="116">
        <f>(D40+D27)/2/100</f>
        <v>0.7395433333333333</v>
      </c>
      <c r="E49" s="116">
        <f>(E40+E27)/2/100</f>
        <v>0.7582506666666666</v>
      </c>
      <c r="F49" s="116">
        <f>(F40+F27)/2/100</f>
        <v>0.7397026666666667</v>
      </c>
      <c r="G49" s="116">
        <f>(G40+G27)/2/100</f>
        <v>0.8073846666666666</v>
      </c>
      <c r="H49" s="250">
        <f>(H40+H27)/2/100</f>
        <v>0.7612203333333334</v>
      </c>
      <c r="I49" s="234">
        <v>0.7762</v>
      </c>
      <c r="J49" s="124"/>
      <c r="L49" s="212" t="s">
        <v>68</v>
      </c>
      <c r="M49" s="225">
        <f>P17</f>
        <v>0.78</v>
      </c>
      <c r="N49" s="260"/>
      <c r="O49" s="225">
        <f>P23</f>
        <v>0.78</v>
      </c>
      <c r="P49" s="259"/>
      <c r="Q49" s="213">
        <f>(M49-O49)/O49</f>
        <v>0</v>
      </c>
      <c r="R49" s="259"/>
      <c r="S49" s="211"/>
    </row>
    <row r="50" spans="1:19" ht="12.75">
      <c r="A50" s="121"/>
      <c r="B50" s="91"/>
      <c r="C50" s="91"/>
      <c r="D50" s="116"/>
      <c r="E50" s="116"/>
      <c r="F50" s="116"/>
      <c r="G50" s="116"/>
      <c r="H50" s="116"/>
      <c r="I50" s="116"/>
      <c r="J50" s="124"/>
      <c r="L50" s="207"/>
      <c r="M50" s="259" t="s">
        <v>65</v>
      </c>
      <c r="N50" s="259"/>
      <c r="O50" s="259"/>
      <c r="P50" s="259"/>
      <c r="Q50" s="259"/>
      <c r="R50" s="259"/>
      <c r="S50" s="211"/>
    </row>
    <row r="51" spans="1:19" ht="12.75">
      <c r="A51" s="121" t="s">
        <v>189</v>
      </c>
      <c r="B51" s="91"/>
      <c r="C51" s="91"/>
      <c r="D51" s="116">
        <f>(D42+D29)/2</f>
        <v>213.3298076923077</v>
      </c>
      <c r="E51" s="116">
        <f>(E42+E29)/2</f>
        <v>218.72615384615384</v>
      </c>
      <c r="F51" s="116">
        <f>(F42+F29)/2</f>
        <v>213.3757692307692</v>
      </c>
      <c r="G51" s="116">
        <f>(G42+G29)/2</f>
        <v>232.89942307692309</v>
      </c>
      <c r="H51" s="202">
        <f>(H42+H29)/2</f>
        <v>219.58278846153846</v>
      </c>
      <c r="I51" s="194">
        <v>223.9</v>
      </c>
      <c r="J51" s="124"/>
      <c r="L51" s="207"/>
      <c r="M51" s="259"/>
      <c r="N51" s="259"/>
      <c r="O51" s="259"/>
      <c r="P51" s="259"/>
      <c r="Q51" s="259"/>
      <c r="R51" s="259"/>
      <c r="S51" s="211"/>
    </row>
    <row r="52" spans="1:19" ht="13.5" thickBot="1">
      <c r="A52" s="121"/>
      <c r="B52" s="91"/>
      <c r="C52" s="91"/>
      <c r="D52" s="91"/>
      <c r="E52" s="91"/>
      <c r="F52" s="91"/>
      <c r="G52" s="91"/>
      <c r="H52" s="91"/>
      <c r="I52" s="91"/>
      <c r="J52" s="124"/>
      <c r="L52" s="215"/>
      <c r="M52" s="216"/>
      <c r="N52" s="216"/>
      <c r="O52" s="216"/>
      <c r="P52" s="216"/>
      <c r="Q52" s="216"/>
      <c r="R52" s="216"/>
      <c r="S52" s="217"/>
    </row>
    <row r="53" spans="1:19" ht="15">
      <c r="A53" s="174" t="s">
        <v>190</v>
      </c>
      <c r="B53" s="175"/>
      <c r="C53" s="175"/>
      <c r="D53" s="176">
        <f>D51*52</f>
        <v>11093.15</v>
      </c>
      <c r="E53" s="176">
        <f>E51*52</f>
        <v>11373.76</v>
      </c>
      <c r="F53" s="176">
        <f>F51*52</f>
        <v>11095.539999999999</v>
      </c>
      <c r="G53" s="176">
        <f>G51*52</f>
        <v>12110.77</v>
      </c>
      <c r="H53" s="184">
        <f>H51*52</f>
        <v>11418.305</v>
      </c>
      <c r="I53" s="195">
        <v>11643</v>
      </c>
      <c r="J53" s="124"/>
      <c r="L53" s="203"/>
      <c r="M53" s="203"/>
      <c r="N53" s="203"/>
      <c r="O53" s="203"/>
      <c r="P53" s="203"/>
      <c r="Q53" s="203"/>
      <c r="R53" s="203"/>
      <c r="S53" s="203"/>
    </row>
    <row r="54" spans="1:19" ht="13.5" thickBot="1">
      <c r="A54" s="173"/>
      <c r="B54" s="128"/>
      <c r="C54" s="128"/>
      <c r="D54" s="128"/>
      <c r="E54" s="128"/>
      <c r="F54" s="128"/>
      <c r="G54" s="128"/>
      <c r="H54" s="128"/>
      <c r="I54" s="128"/>
      <c r="J54" s="129"/>
      <c r="L54" s="203"/>
      <c r="M54" s="203"/>
      <c r="N54" s="203"/>
      <c r="O54" s="203"/>
      <c r="P54" s="203"/>
      <c r="Q54" s="203"/>
      <c r="R54" s="203"/>
      <c r="S54" s="203"/>
    </row>
    <row r="55" spans="12:19" ht="12.75">
      <c r="L55" s="203"/>
      <c r="M55" s="203"/>
      <c r="N55" s="203"/>
      <c r="O55" s="203"/>
      <c r="P55" s="203"/>
      <c r="Q55" s="203"/>
      <c r="R55" s="203"/>
      <c r="S55" s="203"/>
    </row>
    <row r="56" spans="12:19" ht="12.75">
      <c r="L56" s="203"/>
      <c r="M56" s="203"/>
      <c r="N56" s="203"/>
      <c r="O56" s="203"/>
      <c r="P56" s="203"/>
      <c r="Q56" s="203"/>
      <c r="R56" s="203"/>
      <c r="S56" s="203"/>
    </row>
    <row r="57" spans="12:19" ht="12.75">
      <c r="L57" s="203"/>
      <c r="M57" s="203"/>
      <c r="N57" s="203"/>
      <c r="O57" s="203"/>
      <c r="P57" s="203"/>
      <c r="Q57" s="203"/>
      <c r="R57" s="203"/>
      <c r="S57" s="203"/>
    </row>
    <row r="58" spans="1:19" ht="12.75">
      <c r="A58" s="96"/>
      <c r="B58" s="97"/>
      <c r="C58" s="97"/>
      <c r="D58" s="97"/>
      <c r="E58" s="97"/>
      <c r="F58" s="97"/>
      <c r="G58" s="97"/>
      <c r="H58" s="98"/>
      <c r="I58" s="98"/>
      <c r="J58" s="180"/>
      <c r="K58" s="91"/>
      <c r="R58" s="203"/>
      <c r="S58" s="203"/>
    </row>
    <row r="59" spans="1:19" ht="12.75">
      <c r="A59" s="103" t="s">
        <v>48</v>
      </c>
      <c r="B59" s="95"/>
      <c r="C59" s="102"/>
      <c r="D59" s="102"/>
      <c r="E59" s="102"/>
      <c r="F59" s="102"/>
      <c r="G59" s="95"/>
      <c r="H59" s="137" t="s">
        <v>84</v>
      </c>
      <c r="I59" s="137" t="s">
        <v>85</v>
      </c>
      <c r="J59" s="180"/>
      <c r="K59" s="91"/>
      <c r="L59" s="203"/>
      <c r="R59" s="203"/>
      <c r="S59" s="203"/>
    </row>
    <row r="60" spans="1:13" ht="12.75">
      <c r="A60" s="101" t="s">
        <v>37</v>
      </c>
      <c r="B60" s="95"/>
      <c r="C60" s="91"/>
      <c r="D60" s="102">
        <v>178.63</v>
      </c>
      <c r="E60" s="102">
        <v>152.71</v>
      </c>
      <c r="F60" s="102">
        <v>180.78</v>
      </c>
      <c r="G60" s="102">
        <v>183.82</v>
      </c>
      <c r="H60" s="190">
        <f>AVERAGE(D60:G60)</f>
        <v>173.985</v>
      </c>
      <c r="I60" s="100">
        <f>H60*52</f>
        <v>9047.220000000001</v>
      </c>
      <c r="J60" s="180"/>
      <c r="K60" s="91"/>
      <c r="L60" s="203"/>
      <c r="M60" s="109"/>
    </row>
    <row r="61" spans="1:13" ht="12.75">
      <c r="A61" s="101"/>
      <c r="B61" s="95"/>
      <c r="C61" s="91"/>
      <c r="D61" s="95"/>
      <c r="E61" s="95"/>
      <c r="F61" s="95"/>
      <c r="G61" s="95"/>
      <c r="H61" s="91"/>
      <c r="I61" s="91"/>
      <c r="J61" s="180"/>
      <c r="K61" s="91"/>
      <c r="L61" s="203"/>
      <c r="M61" s="91"/>
    </row>
    <row r="62" spans="1:13" ht="12.75">
      <c r="A62" s="103" t="s">
        <v>49</v>
      </c>
      <c r="B62" s="95"/>
      <c r="C62" s="91"/>
      <c r="D62" s="102"/>
      <c r="E62" s="102"/>
      <c r="F62" s="102"/>
      <c r="G62" s="102"/>
      <c r="H62" s="91"/>
      <c r="I62" s="91"/>
      <c r="J62" s="180"/>
      <c r="K62" s="91"/>
      <c r="L62" s="203"/>
      <c r="M62" s="91"/>
    </row>
    <row r="63" spans="1:11" ht="12.75">
      <c r="A63" s="101" t="s">
        <v>37</v>
      </c>
      <c r="B63" s="95"/>
      <c r="C63" s="91"/>
      <c r="D63" s="102">
        <v>184.79</v>
      </c>
      <c r="E63" s="102">
        <v>162.41</v>
      </c>
      <c r="F63" s="102">
        <v>182.19</v>
      </c>
      <c r="G63" s="102">
        <v>180.76</v>
      </c>
      <c r="H63" s="190">
        <f>AVERAGE(D63:G63)</f>
        <v>177.5375</v>
      </c>
      <c r="I63" s="100">
        <f>H63*52</f>
        <v>9231.949999999999</v>
      </c>
      <c r="J63" s="180"/>
      <c r="K63" s="91"/>
    </row>
    <row r="64" spans="1:11" ht="12.75">
      <c r="A64" s="101"/>
      <c r="B64" s="95"/>
      <c r="C64" s="91"/>
      <c r="D64" s="95"/>
      <c r="E64" s="95"/>
      <c r="F64" s="95"/>
      <c r="G64" s="95"/>
      <c r="H64" s="91"/>
      <c r="I64" s="91"/>
      <c r="J64" s="180"/>
      <c r="K64" s="91"/>
    </row>
    <row r="65" spans="1:11" ht="12.75">
      <c r="A65" s="103" t="s">
        <v>53</v>
      </c>
      <c r="B65" s="95"/>
      <c r="C65" s="91"/>
      <c r="D65" s="95"/>
      <c r="E65" s="95"/>
      <c r="F65" s="95"/>
      <c r="G65" s="95"/>
      <c r="J65" s="180"/>
      <c r="K65" s="91"/>
    </row>
    <row r="66" spans="1:11" ht="12.75">
      <c r="A66" s="101" t="s">
        <v>37</v>
      </c>
      <c r="B66" s="95"/>
      <c r="C66" s="91"/>
      <c r="D66" s="102">
        <v>180.12</v>
      </c>
      <c r="E66" s="102">
        <v>175.14</v>
      </c>
      <c r="F66" s="102">
        <v>197.7</v>
      </c>
      <c r="G66" s="102">
        <v>202.7</v>
      </c>
      <c r="H66" s="238">
        <f>AVERAGE(D66:G66)</f>
        <v>188.91500000000002</v>
      </c>
      <c r="I66" s="115">
        <f>H66*52</f>
        <v>9823.580000000002</v>
      </c>
      <c r="J66" s="180"/>
      <c r="K66" s="91"/>
    </row>
    <row r="67" spans="1:11" ht="12.75">
      <c r="A67" s="101"/>
      <c r="B67" s="95"/>
      <c r="C67" s="91"/>
      <c r="D67" s="102"/>
      <c r="E67" s="102"/>
      <c r="F67" s="102"/>
      <c r="G67" s="102"/>
      <c r="H67" s="236"/>
      <c r="I67" s="237"/>
      <c r="J67" s="180"/>
      <c r="K67" s="91"/>
    </row>
    <row r="68" spans="1:11" ht="12.75">
      <c r="A68" s="103" t="s">
        <v>145</v>
      </c>
      <c r="B68" s="95"/>
      <c r="C68" s="91"/>
      <c r="D68" s="95"/>
      <c r="E68" s="95"/>
      <c r="F68" s="95"/>
      <c r="G68" s="95"/>
      <c r="J68" s="180"/>
      <c r="K68" s="91"/>
    </row>
    <row r="69" spans="1:11" ht="12.75">
      <c r="A69" s="101" t="s">
        <v>37</v>
      </c>
      <c r="B69" s="95"/>
      <c r="C69" s="91"/>
      <c r="D69" s="102">
        <v>199.37212031797503</v>
      </c>
      <c r="E69" s="102">
        <v>207.88178920954243</v>
      </c>
      <c r="F69" s="102">
        <v>216.5925</v>
      </c>
      <c r="G69" s="102">
        <v>218.13173076923078</v>
      </c>
      <c r="H69" s="236">
        <v>210.49453507418704</v>
      </c>
      <c r="I69" s="237">
        <f>H69*52</f>
        <v>10945.715823857727</v>
      </c>
      <c r="J69" s="180"/>
      <c r="K69" s="91"/>
    </row>
    <row r="70" spans="1:11" ht="12.75">
      <c r="A70" s="101"/>
      <c r="B70" s="95"/>
      <c r="C70" s="91"/>
      <c r="D70" s="102"/>
      <c r="E70" s="102"/>
      <c r="F70" s="102"/>
      <c r="G70" s="102"/>
      <c r="H70" s="236"/>
      <c r="I70" s="237"/>
      <c r="J70" s="180"/>
      <c r="K70" s="91"/>
    </row>
    <row r="71" spans="1:11" ht="12.75">
      <c r="A71" s="101"/>
      <c r="B71" s="95"/>
      <c r="C71" s="91"/>
      <c r="D71" s="102"/>
      <c r="E71" s="102"/>
      <c r="F71" s="102"/>
      <c r="G71" s="102"/>
      <c r="H71" s="236"/>
      <c r="I71" s="237"/>
      <c r="J71" s="180"/>
      <c r="K71" s="91"/>
    </row>
    <row r="72" spans="1:11" ht="12.75">
      <c r="A72" s="101"/>
      <c r="B72" s="95"/>
      <c r="C72" s="91"/>
      <c r="D72" s="102"/>
      <c r="E72" s="102"/>
      <c r="F72" s="102"/>
      <c r="G72" s="102"/>
      <c r="H72" s="236"/>
      <c r="I72" s="237"/>
      <c r="J72" s="180"/>
      <c r="K72" s="91"/>
    </row>
    <row r="73" spans="1:11" ht="12.75">
      <c r="A73" s="101"/>
      <c r="B73" s="95"/>
      <c r="C73" s="91"/>
      <c r="D73" s="102"/>
      <c r="E73" s="102"/>
      <c r="F73" s="102"/>
      <c r="G73" s="102"/>
      <c r="H73" s="236"/>
      <c r="I73" s="237"/>
      <c r="J73" s="180"/>
      <c r="K73" s="91"/>
    </row>
    <row r="74" spans="1:11" ht="12.75">
      <c r="A74" s="101"/>
      <c r="B74" s="95"/>
      <c r="C74" s="91"/>
      <c r="D74" s="102"/>
      <c r="E74" s="102"/>
      <c r="F74" s="102"/>
      <c r="G74" s="102"/>
      <c r="H74" s="236"/>
      <c r="I74" s="237"/>
      <c r="J74" s="180"/>
      <c r="K74" s="91"/>
    </row>
    <row r="75" spans="1:11" ht="12.75">
      <c r="A75" s="106"/>
      <c r="B75" s="107"/>
      <c r="C75" s="107"/>
      <c r="D75" s="107"/>
      <c r="E75" s="107"/>
      <c r="F75" s="107"/>
      <c r="G75" s="107"/>
      <c r="H75" s="108"/>
      <c r="I75" s="108"/>
      <c r="J75" s="180"/>
      <c r="K75" s="91"/>
    </row>
    <row r="78" spans="3:5" ht="12.75">
      <c r="C78" s="226"/>
      <c r="D78" s="226"/>
      <c r="E78" s="226"/>
    </row>
    <row r="79" spans="1:5" ht="12.75">
      <c r="A79" s="81"/>
      <c r="C79" s="251"/>
      <c r="D79" s="251"/>
      <c r="E79" s="251"/>
    </row>
    <row r="80" spans="3:5" ht="12.75">
      <c r="C80" s="251"/>
      <c r="D80" s="251"/>
      <c r="E80" s="251"/>
    </row>
    <row r="81" spans="3:5" ht="12.75">
      <c r="C81" s="251"/>
      <c r="D81" s="251"/>
      <c r="E81" s="251"/>
    </row>
    <row r="83" spans="1:5" ht="12.75">
      <c r="A83" s="255"/>
      <c r="C83" s="253"/>
      <c r="D83" s="253"/>
      <c r="E83" s="253"/>
    </row>
    <row r="84" spans="1:5" ht="12.75">
      <c r="A84" s="255"/>
      <c r="C84" s="253"/>
      <c r="D84" s="253"/>
      <c r="E84" s="253"/>
    </row>
    <row r="85" spans="1:5" ht="12.75">
      <c r="A85" s="255"/>
      <c r="C85" s="253"/>
      <c r="D85" s="253"/>
      <c r="E85" s="253"/>
    </row>
    <row r="87" spans="1:3" ht="12.75">
      <c r="A87" s="81"/>
      <c r="C87" s="251"/>
    </row>
    <row r="88" ht="12.75">
      <c r="C88" s="251"/>
    </row>
    <row r="89" spans="1:6" ht="12.75">
      <c r="A89" s="255"/>
      <c r="C89" s="251"/>
      <c r="F89" s="269"/>
    </row>
    <row r="91" ht="12.75">
      <c r="C91" s="253"/>
    </row>
    <row r="93" spans="3:4" ht="12.75">
      <c r="C93" s="251"/>
      <c r="D93" s="270"/>
    </row>
    <row r="95" spans="1:5" ht="12.75">
      <c r="A95" s="81"/>
      <c r="C95" s="269"/>
      <c r="D95" s="269"/>
      <c r="E95" s="269"/>
    </row>
    <row r="96" spans="3:5" ht="12.75">
      <c r="C96" s="269"/>
      <c r="D96" s="269"/>
      <c r="E96" s="269"/>
    </row>
    <row r="97" spans="1:5" ht="12.75">
      <c r="A97" s="255"/>
      <c r="C97" s="269"/>
      <c r="D97" s="269"/>
      <c r="E97" s="269"/>
    </row>
    <row r="98" spans="4:5" ht="12.75">
      <c r="D98" s="269"/>
      <c r="E98" s="269"/>
    </row>
    <row r="100" spans="3:5" ht="12.75">
      <c r="C100" s="253"/>
      <c r="D100" s="253"/>
      <c r="E100" s="253"/>
    </row>
    <row r="101" spans="3:5" ht="12.75">
      <c r="C101" s="253"/>
      <c r="D101" s="253"/>
      <c r="E101" s="253"/>
    </row>
    <row r="104" spans="3:6" ht="12.75">
      <c r="C104" s="248"/>
      <c r="D104" s="248"/>
      <c r="E104" s="248"/>
      <c r="F104" s="248"/>
    </row>
    <row r="106" spans="2:6" ht="12.75">
      <c r="B106" s="81"/>
      <c r="D106" s="269"/>
      <c r="E106" s="269"/>
      <c r="F106" s="269"/>
    </row>
    <row r="107" spans="4:6" ht="12.75">
      <c r="D107" s="269"/>
      <c r="E107" s="269"/>
      <c r="F107" s="269"/>
    </row>
    <row r="108" spans="4:6" ht="12.75">
      <c r="D108" s="269"/>
      <c r="E108" s="269"/>
      <c r="F108" s="269"/>
    </row>
  </sheetData>
  <sheetProtection/>
  <mergeCells count="1">
    <mergeCell ref="L14:S14"/>
  </mergeCells>
  <printOptions/>
  <pageMargins left="0.33" right="0.2" top="0.27" bottom="0.2" header="0.19" footer="0.18"/>
  <pageSetup fitToHeight="2" horizontalDpi="600" verticalDpi="600" orientation="landscape" paperSize="9" scale="50" r:id="rId1"/>
  <headerFooter alignWithMargins="0">
    <oddFooter>&amp;L&amp;Z&amp;F     &amp;D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zoomScale="80" zoomScaleNormal="80" zoomScalePageLayoutView="0" workbookViewId="0" topLeftCell="C28">
      <selection activeCell="A35" sqref="A35"/>
    </sheetView>
  </sheetViews>
  <sheetFormatPr defaultColWidth="9.140625" defaultRowHeight="12.75"/>
  <cols>
    <col min="1" max="1" width="56.28125" style="80" customWidth="1"/>
    <col min="2" max="2" width="9.28125" style="80" bestFit="1" customWidth="1"/>
    <col min="3" max="3" width="11.421875" style="80" bestFit="1" customWidth="1"/>
    <col min="4" max="4" width="11.00390625" style="80" customWidth="1"/>
    <col min="5" max="5" width="13.00390625" style="80" bestFit="1" customWidth="1"/>
    <col min="6" max="6" width="12.28125" style="80" customWidth="1"/>
    <col min="7" max="7" width="13.00390625" style="80" bestFit="1" customWidth="1"/>
    <col min="8" max="8" width="14.140625" style="80" customWidth="1"/>
    <col min="9" max="9" width="14.8515625" style="80" customWidth="1"/>
    <col min="10" max="10" width="12.57421875" style="80" customWidth="1"/>
    <col min="11" max="11" width="11.28125" style="80" customWidth="1"/>
    <col min="12" max="12" width="11.28125" style="80" bestFit="1" customWidth="1"/>
    <col min="13" max="13" width="10.140625" style="80" bestFit="1" customWidth="1"/>
    <col min="14" max="14" width="9.140625" style="80" customWidth="1"/>
    <col min="15" max="15" width="9.8515625" style="80" bestFit="1" customWidth="1"/>
    <col min="16" max="16" width="11.421875" style="80" customWidth="1"/>
    <col min="17" max="17" width="12.7109375" style="80" bestFit="1" customWidth="1"/>
    <col min="18" max="18" width="15.57421875" style="80" customWidth="1"/>
    <col min="19" max="19" width="2.7109375" style="80" customWidth="1"/>
    <col min="20" max="16384" width="9.140625" style="80" customWidth="1"/>
  </cols>
  <sheetData>
    <row r="1" ht="18">
      <c r="A1" s="196" t="s">
        <v>164</v>
      </c>
    </row>
    <row r="3" spans="1:11" ht="18" customHeight="1">
      <c r="A3" s="197" t="s">
        <v>165</v>
      </c>
      <c r="B3" s="185"/>
      <c r="C3" s="185"/>
      <c r="D3" s="185"/>
      <c r="E3" s="185"/>
      <c r="F3" s="185"/>
      <c r="G3" s="185"/>
      <c r="H3" s="185"/>
      <c r="I3" s="185"/>
      <c r="J3" s="185"/>
      <c r="K3" s="80">
        <f>150/52*100</f>
        <v>288.46153846153845</v>
      </c>
    </row>
    <row r="4" spans="1:10" ht="12.75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1" ht="15" customHeight="1">
      <c r="A5" s="186" t="s">
        <v>63</v>
      </c>
      <c r="B5" s="186"/>
      <c r="C5" s="186"/>
      <c r="D5" s="186"/>
      <c r="E5" s="186"/>
      <c r="F5" s="186"/>
      <c r="G5" s="186"/>
      <c r="H5" s="186"/>
      <c r="I5" s="186"/>
      <c r="J5" s="226" t="s">
        <v>109</v>
      </c>
      <c r="K5" s="226" t="s">
        <v>106</v>
      </c>
    </row>
    <row r="6" spans="1:10" ht="15.75" customHeight="1">
      <c r="A6" s="187" t="s">
        <v>87</v>
      </c>
      <c r="B6" s="186"/>
      <c r="C6" s="186"/>
      <c r="D6" s="186"/>
      <c r="E6" s="186"/>
      <c r="F6" s="186"/>
      <c r="G6" s="186"/>
      <c r="H6" s="186"/>
      <c r="I6" s="186"/>
      <c r="J6" s="231" t="s">
        <v>65</v>
      </c>
    </row>
    <row r="7" spans="1:13" ht="15" customHeight="1">
      <c r="A7" s="186"/>
      <c r="B7" s="186"/>
      <c r="C7" s="186"/>
      <c r="D7" s="186"/>
      <c r="E7" s="186"/>
      <c r="F7" s="186"/>
      <c r="G7" s="186"/>
      <c r="H7" s="227" t="s">
        <v>107</v>
      </c>
      <c r="I7" s="186"/>
      <c r="J7" s="228">
        <f>H20*15000/100</f>
        <v>8874.97</v>
      </c>
      <c r="K7" s="228">
        <f>N17</f>
        <v>7747</v>
      </c>
      <c r="M7" s="256" t="s">
        <v>65</v>
      </c>
    </row>
    <row r="8" spans="1:13" ht="15.75" customHeight="1">
      <c r="A8" s="188" t="s">
        <v>62</v>
      </c>
      <c r="B8" s="186"/>
      <c r="C8" s="186"/>
      <c r="D8" s="186"/>
      <c r="E8" s="186"/>
      <c r="F8" s="186"/>
      <c r="G8" s="186"/>
      <c r="H8" s="227" t="s">
        <v>108</v>
      </c>
      <c r="I8" s="186"/>
      <c r="J8" s="229">
        <f>H25*15000/100</f>
        <v>2678.25</v>
      </c>
      <c r="K8" s="229">
        <f>O17*15</f>
        <v>3690</v>
      </c>
      <c r="M8" s="256" t="s">
        <v>65</v>
      </c>
    </row>
    <row r="9" spans="1:12" ht="15" customHeight="1">
      <c r="A9" s="186" t="s">
        <v>59</v>
      </c>
      <c r="B9" s="186"/>
      <c r="C9" s="186"/>
      <c r="D9" s="186"/>
      <c r="E9" s="189" t="s">
        <v>65</v>
      </c>
      <c r="F9" s="186"/>
      <c r="G9" s="186"/>
      <c r="H9" s="186"/>
      <c r="I9" s="186"/>
      <c r="J9" s="230">
        <f>SUM(J7:J8)</f>
        <v>11553.22</v>
      </c>
      <c r="K9" s="230">
        <f>SUM(K7:K8)</f>
        <v>11437</v>
      </c>
      <c r="L9" s="267" t="s">
        <v>65</v>
      </c>
    </row>
    <row r="10" spans="1:10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ht="13.5" thickBot="1"/>
    <row r="13" spans="1:22" ht="12.75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L13" s="151"/>
      <c r="M13" s="152"/>
      <c r="N13" s="152"/>
      <c r="O13" s="152"/>
      <c r="P13" s="153"/>
      <c r="Q13" s="153"/>
      <c r="R13" s="153"/>
      <c r="S13" s="154"/>
      <c r="T13" s="114"/>
      <c r="U13" s="110"/>
      <c r="V13" s="110"/>
    </row>
    <row r="14" spans="1:22" ht="15">
      <c r="A14" s="198" t="s">
        <v>175</v>
      </c>
      <c r="B14" s="91"/>
      <c r="C14" s="91"/>
      <c r="D14" s="82"/>
      <c r="E14" s="83"/>
      <c r="F14" s="181" t="s">
        <v>177</v>
      </c>
      <c r="G14" s="84"/>
      <c r="H14" s="85"/>
      <c r="I14" s="232"/>
      <c r="J14" s="122"/>
      <c r="L14" s="283" t="s">
        <v>76</v>
      </c>
      <c r="M14" s="284"/>
      <c r="N14" s="284"/>
      <c r="O14" s="284"/>
      <c r="P14" s="284"/>
      <c r="Q14" s="284"/>
      <c r="R14" s="284"/>
      <c r="S14" s="285"/>
      <c r="T14" s="114"/>
      <c r="U14" s="112"/>
      <c r="V14" s="113"/>
    </row>
    <row r="15" spans="1:22" ht="33.75">
      <c r="A15" s="123"/>
      <c r="B15" s="91"/>
      <c r="C15" s="91"/>
      <c r="D15" s="248" t="s">
        <v>180</v>
      </c>
      <c r="E15" s="248" t="s">
        <v>147</v>
      </c>
      <c r="F15" s="248" t="s">
        <v>148</v>
      </c>
      <c r="G15" s="248" t="s">
        <v>149</v>
      </c>
      <c r="H15" s="252" t="s">
        <v>170</v>
      </c>
      <c r="I15" s="252" t="s">
        <v>133</v>
      </c>
      <c r="J15" s="122"/>
      <c r="K15" s="87"/>
      <c r="L15" s="159"/>
      <c r="M15" s="156"/>
      <c r="N15" s="166"/>
      <c r="O15" s="165" t="s">
        <v>67</v>
      </c>
      <c r="P15" s="165" t="s">
        <v>68</v>
      </c>
      <c r="Q15" s="165"/>
      <c r="R15" s="165" t="s">
        <v>102</v>
      </c>
      <c r="S15" s="158"/>
      <c r="T15" s="114"/>
      <c r="U15" s="113"/>
      <c r="V15" s="113"/>
    </row>
    <row r="16" spans="1:22" ht="12.75">
      <c r="A16" s="121" t="s">
        <v>72</v>
      </c>
      <c r="B16" s="91"/>
      <c r="C16" s="91"/>
      <c r="D16" s="90"/>
      <c r="E16" s="90"/>
      <c r="F16" s="90"/>
      <c r="G16" s="90"/>
      <c r="H16" s="90"/>
      <c r="I16" s="90"/>
      <c r="J16" s="124"/>
      <c r="K16" s="91"/>
      <c r="L16" s="204" t="s">
        <v>103</v>
      </c>
      <c r="M16" s="156"/>
      <c r="N16" s="165" t="s">
        <v>66</v>
      </c>
      <c r="O16" s="165" t="s">
        <v>70</v>
      </c>
      <c r="P16" s="165" t="s">
        <v>69</v>
      </c>
      <c r="Q16" s="165"/>
      <c r="R16" s="165" t="s">
        <v>101</v>
      </c>
      <c r="S16" s="158"/>
      <c r="T16" s="114"/>
      <c r="U16" s="114"/>
      <c r="V16" s="114"/>
    </row>
    <row r="17" spans="1:22" ht="15">
      <c r="A17" s="123" t="s">
        <v>64</v>
      </c>
      <c r="C17" s="91" t="s">
        <v>111</v>
      </c>
      <c r="D17" s="131">
        <f>158.23/K3*100</f>
        <v>54.85306666666666</v>
      </c>
      <c r="E17" s="131">
        <f>166.78/K3*100</f>
        <v>57.81706666666667</v>
      </c>
      <c r="F17" s="131">
        <f>175.7/K3*100</f>
        <v>60.90933333333333</v>
      </c>
      <c r="G17" s="131">
        <f>181.98/K3*100</f>
        <v>63.0864</v>
      </c>
      <c r="H17" s="92">
        <f>AVERAGE(D17:G17)</f>
        <v>59.166466666666665</v>
      </c>
      <c r="I17" s="92">
        <v>60.37847820841712</v>
      </c>
      <c r="J17" s="124"/>
      <c r="L17" s="155"/>
      <c r="M17" s="160">
        <v>2010</v>
      </c>
      <c r="N17" s="171">
        <f>N20</f>
        <v>7747</v>
      </c>
      <c r="O17" s="167">
        <f>O20</f>
        <v>246</v>
      </c>
      <c r="P17" s="169">
        <v>0.78</v>
      </c>
      <c r="Q17" s="206"/>
      <c r="R17" s="220">
        <f>N17+O17*15</f>
        <v>11437</v>
      </c>
      <c r="S17" s="158"/>
      <c r="T17" s="114"/>
      <c r="U17" s="114"/>
      <c r="V17" s="114"/>
    </row>
    <row r="18" spans="1:22" ht="15" thickBot="1">
      <c r="A18" s="123"/>
      <c r="C18" s="91"/>
      <c r="D18" s="131"/>
      <c r="E18" s="131"/>
      <c r="F18" s="131"/>
      <c r="G18" s="131"/>
      <c r="H18" s="92"/>
      <c r="I18" s="92"/>
      <c r="J18" s="124"/>
      <c r="L18" s="161"/>
      <c r="M18" s="182"/>
      <c r="N18" s="162"/>
      <c r="O18" s="261" t="s">
        <v>65</v>
      </c>
      <c r="P18" s="162"/>
      <c r="Q18" s="162"/>
      <c r="R18" s="221" t="s">
        <v>65</v>
      </c>
      <c r="S18" s="163"/>
      <c r="T18" s="114"/>
      <c r="U18" s="114"/>
      <c r="V18" s="114"/>
    </row>
    <row r="19" spans="1:22" ht="14.25">
      <c r="A19" s="123"/>
      <c r="C19" s="91"/>
      <c r="D19" s="131"/>
      <c r="E19" s="131"/>
      <c r="F19" s="131"/>
      <c r="G19" s="131"/>
      <c r="H19" s="92"/>
      <c r="I19" s="92"/>
      <c r="J19" s="124"/>
      <c r="L19" s="183" t="s">
        <v>86</v>
      </c>
      <c r="M19" s="146"/>
      <c r="N19" s="139"/>
      <c r="O19" s="139"/>
      <c r="P19" s="139"/>
      <c r="Q19" s="139"/>
      <c r="R19" s="222"/>
      <c r="S19" s="140"/>
      <c r="T19" s="114"/>
      <c r="U19" s="114"/>
      <c r="V19" s="114"/>
    </row>
    <row r="20" spans="1:22" ht="15">
      <c r="A20" s="123"/>
      <c r="C20" s="91"/>
      <c r="D20" s="131"/>
      <c r="E20" s="132"/>
      <c r="F20" s="131"/>
      <c r="G20" s="131"/>
      <c r="H20" s="172">
        <f>SUM(H17:H19)</f>
        <v>59.166466666666665</v>
      </c>
      <c r="I20" s="177">
        <v>60.37847820841712</v>
      </c>
      <c r="J20" s="124"/>
      <c r="L20" s="138"/>
      <c r="M20" s="143">
        <v>2009</v>
      </c>
      <c r="N20" s="144">
        <v>7747</v>
      </c>
      <c r="O20" s="144">
        <v>246</v>
      </c>
      <c r="P20" s="145">
        <v>0.78</v>
      </c>
      <c r="Q20" s="205"/>
      <c r="R20" s="223">
        <f>N20+O20*15</f>
        <v>11437</v>
      </c>
      <c r="S20" s="140"/>
      <c r="T20" s="114"/>
      <c r="U20" s="115"/>
      <c r="V20" s="114"/>
    </row>
    <row r="21" spans="1:22" ht="12.75">
      <c r="A21" s="121" t="s">
        <v>7</v>
      </c>
      <c r="C21" s="91"/>
      <c r="D21" s="131"/>
      <c r="E21" s="131"/>
      <c r="F21" s="131"/>
      <c r="G21" s="131"/>
      <c r="H21" s="92"/>
      <c r="I21" s="92"/>
      <c r="J21" s="124"/>
      <c r="L21" s="138"/>
      <c r="M21" s="139"/>
      <c r="N21" s="139"/>
      <c r="O21" s="139"/>
      <c r="P21" s="139"/>
      <c r="Q21" s="139"/>
      <c r="R21" s="139"/>
      <c r="S21" s="140"/>
      <c r="T21" s="114"/>
      <c r="U21" s="114"/>
      <c r="V21" s="114"/>
    </row>
    <row r="22" spans="1:22" ht="12.75">
      <c r="A22" s="123"/>
      <c r="C22" s="91" t="s">
        <v>111</v>
      </c>
      <c r="D22" s="131">
        <v>19.58</v>
      </c>
      <c r="E22" s="131">
        <v>17.2</v>
      </c>
      <c r="F22" s="131">
        <v>17.54</v>
      </c>
      <c r="G22" s="131">
        <v>17.1</v>
      </c>
      <c r="H22" s="92">
        <f>AVERAGE(D22:G22)</f>
        <v>17.855</v>
      </c>
      <c r="I22" s="92">
        <v>19.2285</v>
      </c>
      <c r="J22" s="124"/>
      <c r="L22" s="138"/>
      <c r="M22" s="139"/>
      <c r="N22" s="139"/>
      <c r="O22" s="139"/>
      <c r="P22" s="139"/>
      <c r="Q22" s="139"/>
      <c r="R22" s="139"/>
      <c r="S22" s="140"/>
      <c r="T22" s="114"/>
      <c r="U22" s="114"/>
      <c r="V22" s="114"/>
    </row>
    <row r="23" spans="1:22" ht="15">
      <c r="A23" s="123" t="s">
        <v>179</v>
      </c>
      <c r="B23" s="91"/>
      <c r="C23" s="91"/>
      <c r="D23" s="131"/>
      <c r="E23" s="131"/>
      <c r="F23" s="131"/>
      <c r="G23" s="131"/>
      <c r="H23" s="92"/>
      <c r="I23" s="92"/>
      <c r="J23" s="124"/>
      <c r="L23" s="235" t="s">
        <v>65</v>
      </c>
      <c r="M23" s="143">
        <v>2008</v>
      </c>
      <c r="N23" s="144">
        <v>7457</v>
      </c>
      <c r="O23" s="144">
        <v>233</v>
      </c>
      <c r="P23" s="145">
        <v>0.75</v>
      </c>
      <c r="Q23" s="205"/>
      <c r="R23" s="223">
        <f>N23+O23*15</f>
        <v>10952</v>
      </c>
      <c r="S23" s="140"/>
      <c r="U23" s="114"/>
      <c r="V23" s="114"/>
    </row>
    <row r="24" spans="1:22" ht="14.25">
      <c r="A24" s="247" t="s">
        <v>65</v>
      </c>
      <c r="B24" s="91"/>
      <c r="C24" s="91"/>
      <c r="D24" s="131"/>
      <c r="E24" s="131"/>
      <c r="F24" s="131"/>
      <c r="G24" s="131"/>
      <c r="H24" s="92"/>
      <c r="I24" s="92"/>
      <c r="J24" s="124"/>
      <c r="L24" s="138"/>
      <c r="M24" s="146"/>
      <c r="N24" s="142"/>
      <c r="O24" s="142"/>
      <c r="P24" s="142"/>
      <c r="Q24" s="142"/>
      <c r="R24" s="224"/>
      <c r="S24" s="140"/>
      <c r="U24" s="114"/>
      <c r="V24" s="114"/>
    </row>
    <row r="25" spans="1:22" ht="14.25">
      <c r="A25" s="123"/>
      <c r="B25" s="91"/>
      <c r="C25" s="91"/>
      <c r="D25" s="93"/>
      <c r="E25" s="93"/>
      <c r="F25" s="93"/>
      <c r="G25" s="93"/>
      <c r="H25" s="168">
        <f>SUM(H22:H24)</f>
        <v>17.855</v>
      </c>
      <c r="I25" s="177">
        <v>19.2285</v>
      </c>
      <c r="J25" s="124"/>
      <c r="L25" s="138"/>
      <c r="M25" s="146"/>
      <c r="N25" s="142"/>
      <c r="O25" s="142"/>
      <c r="P25" s="142"/>
      <c r="Q25" s="142"/>
      <c r="R25" s="224"/>
      <c r="S25" s="140"/>
      <c r="T25" s="114"/>
      <c r="U25" s="115"/>
      <c r="V25" s="117"/>
    </row>
    <row r="26" spans="1:20" ht="15">
      <c r="A26" s="123"/>
      <c r="B26" s="91"/>
      <c r="C26" s="91"/>
      <c r="D26" s="91"/>
      <c r="E26" s="91"/>
      <c r="F26" s="91"/>
      <c r="G26" s="91"/>
      <c r="H26" s="91"/>
      <c r="I26" s="91"/>
      <c r="J26" s="124"/>
      <c r="L26" s="138"/>
      <c r="M26" s="143">
        <v>2007</v>
      </c>
      <c r="N26" s="144">
        <v>7457</v>
      </c>
      <c r="O26" s="144">
        <v>233</v>
      </c>
      <c r="P26" s="145">
        <v>0.75</v>
      </c>
      <c r="Q26" s="205"/>
      <c r="R26" s="223">
        <f>N26+O26*15</f>
        <v>10952</v>
      </c>
      <c r="S26" s="140"/>
      <c r="T26" s="114"/>
    </row>
    <row r="27" spans="1:20" ht="14.25">
      <c r="A27" s="121" t="s">
        <v>166</v>
      </c>
      <c r="B27" s="95"/>
      <c r="C27" s="95"/>
      <c r="D27" s="125">
        <f>SUM(D17:D24)</f>
        <v>74.43306666666666</v>
      </c>
      <c r="E27" s="125">
        <f>SUM(E17:E24)</f>
        <v>75.01706666666666</v>
      </c>
      <c r="F27" s="125">
        <f>SUM(F17:F24)</f>
        <v>78.44933333333333</v>
      </c>
      <c r="G27" s="125">
        <f>SUM(G17:G24)</f>
        <v>80.18639999999999</v>
      </c>
      <c r="H27" s="126">
        <f>SUM(H20:H24)</f>
        <v>77.02146666666667</v>
      </c>
      <c r="I27" s="192">
        <v>79.60697820841712</v>
      </c>
      <c r="J27" s="124"/>
      <c r="L27" s="138"/>
      <c r="M27" s="146"/>
      <c r="N27" s="142"/>
      <c r="O27" s="142"/>
      <c r="P27" s="142"/>
      <c r="Q27" s="142"/>
      <c r="R27" s="224"/>
      <c r="S27" s="140"/>
      <c r="T27" s="114"/>
    </row>
    <row r="28" spans="1:19" ht="14.25">
      <c r="A28" s="121"/>
      <c r="B28" s="95"/>
      <c r="C28" s="95"/>
      <c r="D28" s="125"/>
      <c r="E28" s="125"/>
      <c r="F28" s="125"/>
      <c r="G28" s="125"/>
      <c r="H28" s="134"/>
      <c r="I28" s="134"/>
      <c r="J28" s="124"/>
      <c r="K28" s="111"/>
      <c r="L28" s="138"/>
      <c r="M28" s="146"/>
      <c r="N28" s="142"/>
      <c r="O28" s="142"/>
      <c r="P28" s="142"/>
      <c r="Q28" s="142"/>
      <c r="R28" s="224"/>
      <c r="S28" s="140"/>
    </row>
    <row r="29" spans="1:19" ht="15">
      <c r="A29" s="130" t="s">
        <v>167</v>
      </c>
      <c r="B29" s="135"/>
      <c r="C29" s="135"/>
      <c r="D29" s="136">
        <f>D27*(15000/52)/100</f>
        <v>214.71076923076922</v>
      </c>
      <c r="E29" s="136">
        <f>E27*(15000/52)/100</f>
        <v>216.39538461538461</v>
      </c>
      <c r="F29" s="136">
        <f>F27*(15000/52)/100</f>
        <v>226.29615384615383</v>
      </c>
      <c r="G29" s="136">
        <f>G27*(15000/52)/100</f>
        <v>231.30692307692306</v>
      </c>
      <c r="H29" s="170">
        <f>H27*(15000/52)/100</f>
        <v>222.1773076923077</v>
      </c>
      <c r="I29" s="193">
        <v>229.63551406274166</v>
      </c>
      <c r="J29" s="124"/>
      <c r="K29" s="111"/>
      <c r="L29" s="138"/>
      <c r="M29" s="143">
        <v>2006</v>
      </c>
      <c r="N29" s="144">
        <v>7457</v>
      </c>
      <c r="O29" s="144">
        <v>158</v>
      </c>
      <c r="P29" s="145">
        <v>0.65</v>
      </c>
      <c r="Q29" s="205"/>
      <c r="R29" s="223">
        <f>N29+O29*15</f>
        <v>9827</v>
      </c>
      <c r="S29" s="140"/>
    </row>
    <row r="30" spans="1:19" ht="15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9"/>
      <c r="L30" s="138"/>
      <c r="M30" s="146"/>
      <c r="N30" s="142"/>
      <c r="O30" s="142"/>
      <c r="P30" s="142"/>
      <c r="Q30" s="142"/>
      <c r="R30" s="224"/>
      <c r="S30" s="140"/>
    </row>
    <row r="31" spans="12:19" ht="14.25">
      <c r="L31" s="235" t="s">
        <v>65</v>
      </c>
      <c r="M31" s="146"/>
      <c r="N31" s="142"/>
      <c r="O31" s="142"/>
      <c r="P31" s="142"/>
      <c r="Q31" s="142"/>
      <c r="R31" s="224"/>
      <c r="S31" s="140"/>
    </row>
    <row r="32" spans="12:19" ht="15">
      <c r="L32" s="138"/>
      <c r="M32" s="143">
        <v>2005</v>
      </c>
      <c r="N32" s="144">
        <v>7457</v>
      </c>
      <c r="O32" s="144">
        <v>145</v>
      </c>
      <c r="P32" s="145">
        <v>0.65</v>
      </c>
      <c r="Q32" s="205"/>
      <c r="R32" s="223">
        <f>N32+O32*15</f>
        <v>9632</v>
      </c>
      <c r="S32" s="140"/>
    </row>
    <row r="33" spans="12:19" ht="15.75" thickBot="1">
      <c r="L33" s="138"/>
      <c r="M33" s="143"/>
      <c r="N33" s="223"/>
      <c r="O33" s="223"/>
      <c r="P33" s="205"/>
      <c r="Q33" s="205"/>
      <c r="R33" s="223"/>
      <c r="S33" s="140"/>
    </row>
    <row r="34" spans="1:19" ht="13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  <c r="L34" s="138"/>
      <c r="M34" s="146"/>
      <c r="N34" s="142"/>
      <c r="O34" s="142"/>
      <c r="P34" s="142"/>
      <c r="Q34" s="142"/>
      <c r="R34" s="224"/>
      <c r="S34" s="140"/>
    </row>
    <row r="35" spans="1:19" ht="15">
      <c r="A35" s="198" t="s">
        <v>176</v>
      </c>
      <c r="B35" s="91"/>
      <c r="C35" s="91"/>
      <c r="D35" s="82"/>
      <c r="E35" s="83"/>
      <c r="F35" s="181" t="s">
        <v>177</v>
      </c>
      <c r="G35" s="84"/>
      <c r="H35" s="85"/>
      <c r="I35" s="85"/>
      <c r="J35" s="122"/>
      <c r="L35" s="141"/>
      <c r="M35" s="143">
        <v>2004</v>
      </c>
      <c r="N35" s="144">
        <v>7457</v>
      </c>
      <c r="O35" s="144">
        <v>145</v>
      </c>
      <c r="P35" s="145">
        <v>0.65</v>
      </c>
      <c r="Q35" s="205"/>
      <c r="R35" s="223">
        <f>N35+O35*15</f>
        <v>9632</v>
      </c>
      <c r="S35" s="140"/>
    </row>
    <row r="36" spans="1:19" ht="34.5" thickBot="1">
      <c r="A36" s="123" t="s">
        <v>178</v>
      </c>
      <c r="B36" s="91"/>
      <c r="C36" s="91"/>
      <c r="D36" s="248" t="s">
        <v>180</v>
      </c>
      <c r="E36" s="248" t="s">
        <v>147</v>
      </c>
      <c r="F36" s="248" t="s">
        <v>148</v>
      </c>
      <c r="G36" s="248" t="s">
        <v>149</v>
      </c>
      <c r="H36" s="249" t="s">
        <v>170</v>
      </c>
      <c r="I36" s="249" t="s">
        <v>133</v>
      </c>
      <c r="J36" s="122"/>
      <c r="L36" s="148"/>
      <c r="M36" s="149"/>
      <c r="N36" s="149"/>
      <c r="O36" s="149"/>
      <c r="P36" s="149"/>
      <c r="Q36" s="149"/>
      <c r="R36" s="149"/>
      <c r="S36" s="150"/>
    </row>
    <row r="37" spans="1:10" ht="12.75">
      <c r="A37" s="121" t="s">
        <v>65</v>
      </c>
      <c r="B37" s="91"/>
      <c r="C37" s="91"/>
      <c r="D37" s="90" t="s">
        <v>65</v>
      </c>
      <c r="E37" s="90"/>
      <c r="F37" s="90"/>
      <c r="G37" s="90"/>
      <c r="H37" s="90"/>
      <c r="I37" s="90"/>
      <c r="J37" s="124"/>
    </row>
    <row r="38" spans="1:10" ht="13.5" thickBot="1">
      <c r="A38" s="121" t="s">
        <v>96</v>
      </c>
      <c r="B38" s="91" t="s">
        <v>65</v>
      </c>
      <c r="C38" s="91"/>
      <c r="D38" s="199">
        <v>226.9</v>
      </c>
      <c r="E38" s="199">
        <v>217.96</v>
      </c>
      <c r="F38" s="199">
        <v>228.95</v>
      </c>
      <c r="G38" s="199">
        <v>228.7</v>
      </c>
      <c r="H38" s="200">
        <f>AVERAGE(D38:G38)</f>
        <v>225.6275</v>
      </c>
      <c r="I38" s="201">
        <v>228.8598</v>
      </c>
      <c r="J38" s="124"/>
    </row>
    <row r="39" spans="1:19" ht="12.75">
      <c r="A39" s="123"/>
      <c r="B39" s="91"/>
      <c r="C39" s="91"/>
      <c r="D39" s="91"/>
      <c r="E39" s="91"/>
      <c r="F39" s="91"/>
      <c r="G39" s="91"/>
      <c r="H39" s="91"/>
      <c r="I39" s="91"/>
      <c r="J39" s="124"/>
      <c r="L39" s="151"/>
      <c r="M39" s="152"/>
      <c r="N39" s="152"/>
      <c r="O39" s="152"/>
      <c r="P39" s="152"/>
      <c r="Q39" s="152"/>
      <c r="R39" s="152"/>
      <c r="S39" s="154"/>
    </row>
    <row r="40" spans="1:19" ht="12.75">
      <c r="A40" s="121" t="s">
        <v>168</v>
      </c>
      <c r="B40" s="95"/>
      <c r="C40" s="95"/>
      <c r="D40" s="125">
        <f>D38/15000*52*100</f>
        <v>78.65866666666666</v>
      </c>
      <c r="E40" s="125">
        <f>E38/15000*52*100</f>
        <v>75.55946666666668</v>
      </c>
      <c r="F40" s="125">
        <f>F38/15000*52*100</f>
        <v>79.36933333333333</v>
      </c>
      <c r="G40" s="125">
        <f>G38/15000*52*100</f>
        <v>79.28266666666666</v>
      </c>
      <c r="H40" s="126">
        <f>AVERAGE(D40:G40)</f>
        <v>78.21753333333334</v>
      </c>
      <c r="I40" s="192">
        <v>79.3375</v>
      </c>
      <c r="J40" s="124"/>
      <c r="L40" s="204" t="s">
        <v>99</v>
      </c>
      <c r="M40" s="156"/>
      <c r="N40" s="156"/>
      <c r="O40" s="156"/>
      <c r="P40" s="156"/>
      <c r="Q40" s="156"/>
      <c r="R40" s="156"/>
      <c r="S40" s="158"/>
    </row>
    <row r="41" spans="1:19" ht="13.5" thickBot="1">
      <c r="A41" s="121"/>
      <c r="B41" s="95"/>
      <c r="C41" s="95"/>
      <c r="D41" s="125"/>
      <c r="E41" s="125"/>
      <c r="F41" s="125"/>
      <c r="G41" s="125"/>
      <c r="H41" s="134"/>
      <c r="I41" s="133"/>
      <c r="J41" s="124"/>
      <c r="L41" s="161"/>
      <c r="M41" s="162"/>
      <c r="N41" s="162"/>
      <c r="O41" s="162"/>
      <c r="P41" s="162"/>
      <c r="Q41" s="162"/>
      <c r="R41" s="162"/>
      <c r="S41" s="163"/>
    </row>
    <row r="42" spans="1:19" ht="15">
      <c r="A42" s="130" t="s">
        <v>169</v>
      </c>
      <c r="B42" s="135"/>
      <c r="C42" s="135"/>
      <c r="D42" s="136">
        <f>D40*(15000/52)/100</f>
        <v>226.89999999999998</v>
      </c>
      <c r="E42" s="136">
        <f>E40*(15000/52)/100</f>
        <v>217.96000000000004</v>
      </c>
      <c r="F42" s="136">
        <f>F40*(15000/52)/100</f>
        <v>228.95</v>
      </c>
      <c r="G42" s="136">
        <f>G40*(15000/52)/100</f>
        <v>228.69999999999996</v>
      </c>
      <c r="H42" s="170">
        <f>H40*(15000/52)/100</f>
        <v>225.6275</v>
      </c>
      <c r="I42" s="193">
        <v>228.8581730769231</v>
      </c>
      <c r="J42" s="124"/>
      <c r="L42" s="207"/>
      <c r="M42" s="210">
        <v>2010</v>
      </c>
      <c r="N42" s="264"/>
      <c r="O42" s="210">
        <v>2009</v>
      </c>
      <c r="P42" s="259"/>
      <c r="Q42" s="210" t="s">
        <v>100</v>
      </c>
      <c r="R42" s="259"/>
      <c r="S42" s="211"/>
    </row>
    <row r="43" spans="1:19" ht="15.75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9"/>
      <c r="K43" s="94"/>
      <c r="L43" s="212" t="s">
        <v>66</v>
      </c>
      <c r="M43" s="218">
        <f>N17</f>
        <v>7747</v>
      </c>
      <c r="N43" s="260"/>
      <c r="O43" s="218">
        <f>N20</f>
        <v>7747</v>
      </c>
      <c r="P43" s="259"/>
      <c r="Q43" s="213">
        <f>(M43-O43)/O43</f>
        <v>0</v>
      </c>
      <c r="R43" s="259"/>
      <c r="S43" s="211"/>
    </row>
    <row r="44" spans="1:19" ht="15">
      <c r="A44" s="91"/>
      <c r="B44" s="91"/>
      <c r="C44" s="91"/>
      <c r="D44" s="91"/>
      <c r="E44" s="91"/>
      <c r="F44" s="91"/>
      <c r="G44" s="91"/>
      <c r="H44" s="266" t="s">
        <v>65</v>
      </c>
      <c r="I44" s="91"/>
      <c r="J44" s="91"/>
      <c r="K44" s="94"/>
      <c r="L44" s="212" t="s">
        <v>67</v>
      </c>
      <c r="M44" s="218">
        <f>O17*15</f>
        <v>3690</v>
      </c>
      <c r="N44" s="260"/>
      <c r="O44" s="218">
        <f>O20*15</f>
        <v>3690</v>
      </c>
      <c r="P44" s="259"/>
      <c r="Q44" s="213">
        <f>(M44-O44)/O44</f>
        <v>0</v>
      </c>
      <c r="R44" s="259"/>
      <c r="S44" s="211"/>
    </row>
    <row r="45" spans="1:19" ht="15.75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4"/>
      <c r="L45" s="212"/>
      <c r="M45" s="262">
        <f>SUM(M43:M44)</f>
        <v>11437</v>
      </c>
      <c r="N45" s="263"/>
      <c r="O45" s="262">
        <f>SUM(O43:O44)</f>
        <v>11437</v>
      </c>
      <c r="P45" s="259"/>
      <c r="Q45" s="213">
        <f>(M45-O45)/O45</f>
        <v>0</v>
      </c>
      <c r="R45" s="259"/>
      <c r="S45" s="211"/>
    </row>
    <row r="46" spans="1:19" ht="14.25">
      <c r="A46" s="118"/>
      <c r="B46" s="119"/>
      <c r="C46" s="119"/>
      <c r="D46" s="119"/>
      <c r="E46" s="119"/>
      <c r="F46" s="119"/>
      <c r="G46" s="119"/>
      <c r="H46" s="119"/>
      <c r="I46" s="119"/>
      <c r="J46" s="120"/>
      <c r="K46" s="94"/>
      <c r="L46" s="212"/>
      <c r="M46" s="218"/>
      <c r="N46" s="260"/>
      <c r="O46" s="218"/>
      <c r="P46" s="259"/>
      <c r="Q46" s="214"/>
      <c r="R46" s="259"/>
      <c r="S46" s="211"/>
    </row>
    <row r="47" spans="1:19" ht="15">
      <c r="A47" s="198" t="s">
        <v>171</v>
      </c>
      <c r="B47" s="91"/>
      <c r="C47" s="91"/>
      <c r="D47" s="91"/>
      <c r="E47" s="91"/>
      <c r="F47" s="91"/>
      <c r="G47" s="91"/>
      <c r="H47" s="137" t="s">
        <v>170</v>
      </c>
      <c r="I47" s="137" t="s">
        <v>133</v>
      </c>
      <c r="J47" s="124"/>
      <c r="K47" s="94"/>
      <c r="L47" s="212" t="s">
        <v>68</v>
      </c>
      <c r="M47" s="225">
        <f>P17</f>
        <v>0.78</v>
      </c>
      <c r="N47" s="260"/>
      <c r="O47" s="225">
        <f>P20</f>
        <v>0.78</v>
      </c>
      <c r="P47" s="259"/>
      <c r="Q47" s="213">
        <f>(M47-O47)/O47</f>
        <v>0</v>
      </c>
      <c r="R47" s="259"/>
      <c r="S47" s="211"/>
    </row>
    <row r="48" spans="1:19" ht="12.75">
      <c r="A48" s="123"/>
      <c r="B48" s="91"/>
      <c r="C48" s="91"/>
      <c r="D48" s="91"/>
      <c r="E48" s="91"/>
      <c r="F48" s="91"/>
      <c r="G48" s="91"/>
      <c r="H48" s="91"/>
      <c r="I48" s="91"/>
      <c r="J48" s="124"/>
      <c r="K48" s="94"/>
      <c r="L48" s="207"/>
      <c r="M48" s="259" t="s">
        <v>65</v>
      </c>
      <c r="N48" s="259"/>
      <c r="O48" s="259"/>
      <c r="P48" s="259"/>
      <c r="Q48" s="259"/>
      <c r="R48" s="259"/>
      <c r="S48" s="211"/>
    </row>
    <row r="49" spans="1:19" ht="12.75">
      <c r="A49" s="121" t="s">
        <v>172</v>
      </c>
      <c r="B49" s="91"/>
      <c r="C49" s="91"/>
      <c r="D49" s="116">
        <f>(D40+D27)/2/100</f>
        <v>0.7654586666666665</v>
      </c>
      <c r="E49" s="116">
        <f>(E40+E27)/2/100</f>
        <v>0.7528826666666667</v>
      </c>
      <c r="F49" s="116">
        <f>(F40+F27)/2/100</f>
        <v>0.7890933333333333</v>
      </c>
      <c r="G49" s="116">
        <f>(G40+G27)/2/100</f>
        <v>0.7973453333333334</v>
      </c>
      <c r="H49" s="250">
        <f>(H40+H27)/2/100</f>
        <v>0.776195</v>
      </c>
      <c r="I49" s="234">
        <v>0.7947223910420856</v>
      </c>
      <c r="J49" s="124"/>
      <c r="L49" s="207"/>
      <c r="M49" s="259"/>
      <c r="N49" s="259"/>
      <c r="O49" s="259"/>
      <c r="P49" s="259"/>
      <c r="Q49" s="259"/>
      <c r="R49" s="259"/>
      <c r="S49" s="211"/>
    </row>
    <row r="50" spans="1:19" ht="13.5" thickBot="1">
      <c r="A50" s="121"/>
      <c r="B50" s="91"/>
      <c r="C50" s="91"/>
      <c r="D50" s="116"/>
      <c r="E50" s="116"/>
      <c r="F50" s="116"/>
      <c r="G50" s="116"/>
      <c r="H50" s="116"/>
      <c r="I50" s="116"/>
      <c r="J50" s="124"/>
      <c r="L50" s="215"/>
      <c r="M50" s="216"/>
      <c r="N50" s="216"/>
      <c r="O50" s="216"/>
      <c r="P50" s="216"/>
      <c r="Q50" s="216"/>
      <c r="R50" s="216"/>
      <c r="S50" s="217"/>
    </row>
    <row r="51" spans="1:10" ht="12.75">
      <c r="A51" s="121" t="s">
        <v>173</v>
      </c>
      <c r="B51" s="91"/>
      <c r="C51" s="91"/>
      <c r="D51" s="116">
        <f>(D42+D29)/2</f>
        <v>220.80538461538458</v>
      </c>
      <c r="E51" s="116">
        <f>(E42+E29)/2</f>
        <v>217.17769230769233</v>
      </c>
      <c r="F51" s="116">
        <f>(F42+F29)/2</f>
        <v>227.6230769230769</v>
      </c>
      <c r="G51" s="116">
        <f>(G42+G29)/2</f>
        <v>230.00346153846152</v>
      </c>
      <c r="H51" s="202">
        <f>(H42+H29)/2</f>
        <v>223.90240384615385</v>
      </c>
      <c r="I51" s="194">
        <v>229.24684356983238</v>
      </c>
      <c r="J51" s="124"/>
    </row>
    <row r="52" spans="1:19" ht="12.75">
      <c r="A52" s="121"/>
      <c r="B52" s="91"/>
      <c r="C52" s="91"/>
      <c r="D52" s="91"/>
      <c r="E52" s="91"/>
      <c r="F52" s="91"/>
      <c r="G52" s="91"/>
      <c r="H52" s="91"/>
      <c r="I52" s="91"/>
      <c r="J52" s="124"/>
      <c r="L52" s="203"/>
      <c r="M52" s="203"/>
      <c r="N52" s="203"/>
      <c r="O52" s="203"/>
      <c r="P52" s="203"/>
      <c r="Q52" s="203"/>
      <c r="R52" s="203"/>
      <c r="S52" s="203"/>
    </row>
    <row r="53" spans="1:19" ht="15">
      <c r="A53" s="174" t="s">
        <v>174</v>
      </c>
      <c r="B53" s="175"/>
      <c r="C53" s="175"/>
      <c r="D53" s="176">
        <f>D51*52</f>
        <v>11481.879999999997</v>
      </c>
      <c r="E53" s="176">
        <f>E51*52</f>
        <v>11293.240000000002</v>
      </c>
      <c r="F53" s="176">
        <f>F51*52</f>
        <v>11836.399999999998</v>
      </c>
      <c r="G53" s="176">
        <f>G51*52</f>
        <v>11960.179999999998</v>
      </c>
      <c r="H53" s="184">
        <f>H51*52</f>
        <v>11642.925</v>
      </c>
      <c r="I53" s="195">
        <v>11920.835865631283</v>
      </c>
      <c r="J53" s="124"/>
      <c r="L53" s="203"/>
      <c r="M53" s="203"/>
      <c r="N53" s="203"/>
      <c r="O53" s="203"/>
      <c r="P53" s="203"/>
      <c r="Q53" s="203"/>
      <c r="R53" s="203"/>
      <c r="S53" s="203"/>
    </row>
    <row r="54" spans="1:19" ht="13.5" thickBot="1">
      <c r="A54" s="173"/>
      <c r="B54" s="128"/>
      <c r="C54" s="128"/>
      <c r="D54" s="128"/>
      <c r="E54" s="128"/>
      <c r="F54" s="128"/>
      <c r="G54" s="128"/>
      <c r="H54" s="128"/>
      <c r="I54" s="128"/>
      <c r="J54" s="129"/>
      <c r="L54" s="203"/>
      <c r="M54" s="203"/>
      <c r="N54" s="203"/>
      <c r="O54" s="203"/>
      <c r="P54" s="203"/>
      <c r="Q54" s="203"/>
      <c r="R54" s="203"/>
      <c r="S54" s="203"/>
    </row>
    <row r="55" spans="12:19" ht="12.75">
      <c r="L55" s="203"/>
      <c r="M55" s="203"/>
      <c r="N55" s="203"/>
      <c r="O55" s="203"/>
      <c r="P55" s="203"/>
      <c r="Q55" s="203"/>
      <c r="R55" s="203"/>
      <c r="S55" s="203"/>
    </row>
    <row r="56" spans="12:19" ht="12.75" hidden="1">
      <c r="L56" s="203"/>
      <c r="M56" s="203"/>
      <c r="N56" s="203"/>
      <c r="O56" s="203"/>
      <c r="P56" s="203"/>
      <c r="Q56" s="203"/>
      <c r="R56" s="203"/>
      <c r="S56" s="203"/>
    </row>
    <row r="57" spans="12:19" ht="12.75" hidden="1">
      <c r="L57" s="203"/>
      <c r="M57" s="203"/>
      <c r="N57" s="203"/>
      <c r="O57" s="203"/>
      <c r="P57" s="203"/>
      <c r="Q57" s="203"/>
      <c r="R57" s="203"/>
      <c r="S57" s="203"/>
    </row>
    <row r="58" spans="1:19" ht="12.75" hidden="1">
      <c r="A58" s="96"/>
      <c r="B58" s="97"/>
      <c r="C58" s="97"/>
      <c r="D58" s="97"/>
      <c r="E58" s="97"/>
      <c r="F58" s="97"/>
      <c r="G58" s="97"/>
      <c r="H58" s="98"/>
      <c r="I58" s="98"/>
      <c r="J58" s="180"/>
      <c r="K58" s="91"/>
      <c r="R58" s="203"/>
      <c r="S58" s="203"/>
    </row>
    <row r="59" spans="1:19" ht="12.75" hidden="1">
      <c r="A59" s="103" t="s">
        <v>48</v>
      </c>
      <c r="B59" s="95"/>
      <c r="C59" s="102"/>
      <c r="D59" s="102"/>
      <c r="E59" s="102"/>
      <c r="F59" s="102"/>
      <c r="G59" s="95"/>
      <c r="H59" s="137" t="s">
        <v>84</v>
      </c>
      <c r="I59" s="137" t="s">
        <v>85</v>
      </c>
      <c r="J59" s="180"/>
      <c r="K59" s="91"/>
      <c r="L59" s="203"/>
      <c r="R59" s="203"/>
      <c r="S59" s="203"/>
    </row>
    <row r="60" spans="1:13" ht="12.75" hidden="1">
      <c r="A60" s="101" t="s">
        <v>37</v>
      </c>
      <c r="B60" s="95"/>
      <c r="C60" s="91"/>
      <c r="D60" s="102">
        <v>178.63</v>
      </c>
      <c r="E60" s="102">
        <v>152.71</v>
      </c>
      <c r="F60" s="102">
        <v>180.78</v>
      </c>
      <c r="G60" s="102">
        <v>183.82</v>
      </c>
      <c r="H60" s="190">
        <f>AVERAGE(D60:G60)</f>
        <v>173.985</v>
      </c>
      <c r="I60" s="100">
        <f>H60*52</f>
        <v>9047.220000000001</v>
      </c>
      <c r="J60" s="180"/>
      <c r="K60" s="91"/>
      <c r="L60" s="203"/>
      <c r="M60" s="109"/>
    </row>
    <row r="61" spans="1:13" ht="12.75" hidden="1">
      <c r="A61" s="101"/>
      <c r="B61" s="95"/>
      <c r="C61" s="91"/>
      <c r="D61" s="95"/>
      <c r="E61" s="95"/>
      <c r="F61" s="95"/>
      <c r="G61" s="95"/>
      <c r="H61" s="91"/>
      <c r="I61" s="91"/>
      <c r="J61" s="180"/>
      <c r="K61" s="91"/>
      <c r="L61" s="203"/>
      <c r="M61" s="91"/>
    </row>
    <row r="62" spans="1:13" ht="12.75" hidden="1">
      <c r="A62" s="103" t="s">
        <v>49</v>
      </c>
      <c r="B62" s="95"/>
      <c r="C62" s="91"/>
      <c r="D62" s="102"/>
      <c r="E62" s="102"/>
      <c r="F62" s="102"/>
      <c r="G62" s="102"/>
      <c r="H62" s="91"/>
      <c r="I62" s="91"/>
      <c r="J62" s="180"/>
      <c r="K62" s="91"/>
      <c r="L62" s="203"/>
      <c r="M62" s="91"/>
    </row>
    <row r="63" spans="1:11" ht="12.75" hidden="1">
      <c r="A63" s="101" t="s">
        <v>37</v>
      </c>
      <c r="B63" s="95"/>
      <c r="C63" s="91"/>
      <c r="D63" s="102">
        <v>184.79</v>
      </c>
      <c r="E63" s="102">
        <v>162.41</v>
      </c>
      <c r="F63" s="102">
        <v>182.19</v>
      </c>
      <c r="G63" s="102">
        <v>180.76</v>
      </c>
      <c r="H63" s="190">
        <f>AVERAGE(D63:G63)</f>
        <v>177.5375</v>
      </c>
      <c r="I63" s="100">
        <f>H63*52</f>
        <v>9231.949999999999</v>
      </c>
      <c r="J63" s="180"/>
      <c r="K63" s="91"/>
    </row>
    <row r="64" spans="1:11" ht="12.75" hidden="1">
      <c r="A64" s="101"/>
      <c r="B64" s="95"/>
      <c r="C64" s="91"/>
      <c r="D64" s="95"/>
      <c r="E64" s="95"/>
      <c r="F64" s="95"/>
      <c r="G64" s="95"/>
      <c r="H64" s="91"/>
      <c r="I64" s="91"/>
      <c r="J64" s="180"/>
      <c r="K64" s="91"/>
    </row>
    <row r="65" spans="1:11" ht="12.75" hidden="1">
      <c r="A65" s="103" t="s">
        <v>53</v>
      </c>
      <c r="B65" s="95"/>
      <c r="C65" s="91"/>
      <c r="D65" s="95"/>
      <c r="E65" s="95"/>
      <c r="F65" s="95"/>
      <c r="G65" s="95"/>
      <c r="J65" s="180"/>
      <c r="K65" s="91"/>
    </row>
    <row r="66" spans="1:11" ht="12.75" hidden="1">
      <c r="A66" s="101" t="s">
        <v>37</v>
      </c>
      <c r="B66" s="95"/>
      <c r="C66" s="91"/>
      <c r="D66" s="102">
        <v>180.12</v>
      </c>
      <c r="E66" s="102">
        <v>175.14</v>
      </c>
      <c r="F66" s="102">
        <v>197.7</v>
      </c>
      <c r="G66" s="102">
        <v>202.7</v>
      </c>
      <c r="H66" s="238">
        <f>AVERAGE(D66:G66)</f>
        <v>188.91500000000002</v>
      </c>
      <c r="I66" s="115">
        <f>H66*52</f>
        <v>9823.580000000002</v>
      </c>
      <c r="J66" s="180"/>
      <c r="K66" s="91"/>
    </row>
    <row r="67" spans="1:11" ht="12.75" hidden="1">
      <c r="A67" s="101"/>
      <c r="B67" s="95"/>
      <c r="C67" s="91"/>
      <c r="D67" s="102"/>
      <c r="E67" s="102"/>
      <c r="F67" s="102"/>
      <c r="G67" s="102"/>
      <c r="H67" s="236"/>
      <c r="I67" s="237"/>
      <c r="J67" s="180"/>
      <c r="K67" s="91"/>
    </row>
    <row r="68" spans="1:11" ht="12.75" hidden="1">
      <c r="A68" s="103" t="s">
        <v>145</v>
      </c>
      <c r="B68" s="95"/>
      <c r="C68" s="91"/>
      <c r="D68" s="95"/>
      <c r="E68" s="95"/>
      <c r="F68" s="95"/>
      <c r="G68" s="95"/>
      <c r="J68" s="180"/>
      <c r="K68" s="91"/>
    </row>
    <row r="69" spans="1:11" ht="12.75" hidden="1">
      <c r="A69" s="101" t="s">
        <v>37</v>
      </c>
      <c r="B69" s="95"/>
      <c r="C69" s="91"/>
      <c r="D69" s="102">
        <v>199.37212031797503</v>
      </c>
      <c r="E69" s="102">
        <v>207.88178920954243</v>
      </c>
      <c r="F69" s="102">
        <v>216.5925</v>
      </c>
      <c r="G69" s="102">
        <v>218.13173076923078</v>
      </c>
      <c r="H69" s="236">
        <v>210.49453507418704</v>
      </c>
      <c r="I69" s="237">
        <f>H69*52</f>
        <v>10945.715823857727</v>
      </c>
      <c r="J69" s="180"/>
      <c r="K69" s="91"/>
    </row>
    <row r="70" spans="1:11" ht="12.75" hidden="1">
      <c r="A70" s="101"/>
      <c r="B70" s="95"/>
      <c r="C70" s="91"/>
      <c r="D70" s="102"/>
      <c r="E70" s="102"/>
      <c r="F70" s="102"/>
      <c r="G70" s="102"/>
      <c r="H70" s="236"/>
      <c r="I70" s="237"/>
      <c r="J70" s="180"/>
      <c r="K70" s="91"/>
    </row>
    <row r="71" spans="1:11" ht="12.75" hidden="1">
      <c r="A71" s="101"/>
      <c r="B71" s="95"/>
      <c r="C71" s="91"/>
      <c r="D71" s="102"/>
      <c r="E71" s="102"/>
      <c r="F71" s="102"/>
      <c r="G71" s="102"/>
      <c r="H71" s="236"/>
      <c r="I71" s="237"/>
      <c r="J71" s="180"/>
      <c r="K71" s="91"/>
    </row>
    <row r="72" spans="1:11" ht="12.75" hidden="1">
      <c r="A72" s="101"/>
      <c r="B72" s="95"/>
      <c r="C72" s="91"/>
      <c r="D72" s="102"/>
      <c r="E72" s="102"/>
      <c r="F72" s="102"/>
      <c r="G72" s="102"/>
      <c r="H72" s="236"/>
      <c r="I72" s="237"/>
      <c r="J72" s="180"/>
      <c r="K72" s="91"/>
    </row>
    <row r="73" spans="1:11" ht="12.75" hidden="1">
      <c r="A73" s="101"/>
      <c r="B73" s="95"/>
      <c r="C73" s="91"/>
      <c r="D73" s="102"/>
      <c r="E73" s="102"/>
      <c r="F73" s="102"/>
      <c r="G73" s="102"/>
      <c r="H73" s="236"/>
      <c r="I73" s="237"/>
      <c r="J73" s="180"/>
      <c r="K73" s="91"/>
    </row>
    <row r="74" spans="1:11" ht="12.75" hidden="1">
      <c r="A74" s="101"/>
      <c r="B74" s="95"/>
      <c r="C74" s="91"/>
      <c r="D74" s="102"/>
      <c r="E74" s="102"/>
      <c r="F74" s="102"/>
      <c r="G74" s="102"/>
      <c r="H74" s="236"/>
      <c r="I74" s="237"/>
      <c r="J74" s="180"/>
      <c r="K74" s="91"/>
    </row>
    <row r="75" spans="1:11" ht="12.75" hidden="1">
      <c r="A75" s="106"/>
      <c r="B75" s="107"/>
      <c r="C75" s="107"/>
      <c r="D75" s="107"/>
      <c r="E75" s="107"/>
      <c r="F75" s="107"/>
      <c r="G75" s="107"/>
      <c r="H75" s="108"/>
      <c r="I75" s="108"/>
      <c r="J75" s="180"/>
      <c r="K75" s="91"/>
    </row>
    <row r="76" ht="12.75" hidden="1"/>
    <row r="78" spans="3:5" ht="12.75">
      <c r="C78" s="226"/>
      <c r="D78" s="226"/>
      <c r="E78" s="226"/>
    </row>
    <row r="79" spans="1:5" ht="12.75">
      <c r="A79" s="81"/>
      <c r="C79" s="251"/>
      <c r="D79" s="251"/>
      <c r="E79" s="251"/>
    </row>
    <row r="80" spans="3:5" ht="12.75">
      <c r="C80" s="251"/>
      <c r="D80" s="251"/>
      <c r="E80" s="251"/>
    </row>
    <row r="81" spans="3:5" ht="12.75">
      <c r="C81" s="251"/>
      <c r="D81" s="251"/>
      <c r="E81" s="251"/>
    </row>
    <row r="83" spans="1:5" ht="12.75">
      <c r="A83" s="255"/>
      <c r="C83" s="253"/>
      <c r="D83" s="253"/>
      <c r="E83" s="253"/>
    </row>
    <row r="84" spans="1:5" ht="12.75">
      <c r="A84" s="255"/>
      <c r="C84" s="253"/>
      <c r="D84" s="253"/>
      <c r="E84" s="253"/>
    </row>
    <row r="85" spans="1:5" ht="12.75">
      <c r="A85" s="255"/>
      <c r="C85" s="253"/>
      <c r="D85" s="253"/>
      <c r="E85" s="253"/>
    </row>
    <row r="87" spans="1:3" ht="12.75">
      <c r="A87" s="81"/>
      <c r="C87" s="251"/>
    </row>
    <row r="88" ht="12.75">
      <c r="C88" s="251"/>
    </row>
    <row r="89" spans="1:6" ht="12.75">
      <c r="A89" s="255"/>
      <c r="C89" s="251"/>
      <c r="F89" s="258"/>
    </row>
    <row r="91" ht="12.75">
      <c r="C91" s="253"/>
    </row>
    <row r="93" spans="3:4" ht="12.75">
      <c r="C93" s="251"/>
      <c r="D93" s="257"/>
    </row>
    <row r="95" spans="1:5" ht="12.75">
      <c r="A95" s="81"/>
      <c r="C95" s="258"/>
      <c r="D95" s="258"/>
      <c r="E95" s="258"/>
    </row>
    <row r="96" spans="3:5" ht="12.75">
      <c r="C96" s="258"/>
      <c r="D96" s="258"/>
      <c r="E96" s="258"/>
    </row>
    <row r="97" spans="1:5" ht="12.75">
      <c r="A97" s="255"/>
      <c r="C97" s="258"/>
      <c r="D97" s="258"/>
      <c r="E97" s="258"/>
    </row>
    <row r="98" spans="4:5" ht="12.75">
      <c r="D98" s="258"/>
      <c r="E98" s="258"/>
    </row>
    <row r="100" spans="3:5" ht="12.75">
      <c r="C100" s="253"/>
      <c r="D100" s="253"/>
      <c r="E100" s="253"/>
    </row>
    <row r="101" spans="3:5" ht="12.75">
      <c r="C101" s="253"/>
      <c r="D101" s="253"/>
      <c r="E101" s="253"/>
    </row>
    <row r="104" spans="3:6" ht="12.75">
      <c r="C104" s="248"/>
      <c r="D104" s="248"/>
      <c r="E104" s="248"/>
      <c r="F104" s="248"/>
    </row>
    <row r="106" spans="2:6" ht="12.75">
      <c r="B106" s="81"/>
      <c r="D106" s="258"/>
      <c r="E106" s="258"/>
      <c r="F106" s="258"/>
    </row>
    <row r="107" spans="4:6" ht="12.75">
      <c r="D107" s="258"/>
      <c r="E107" s="258"/>
      <c r="F107" s="258"/>
    </row>
    <row r="108" spans="4:6" ht="12.75">
      <c r="D108" s="258"/>
      <c r="E108" s="258"/>
      <c r="F108" s="258"/>
    </row>
  </sheetData>
  <sheetProtection/>
  <mergeCells count="1">
    <mergeCell ref="L14:S14"/>
  </mergeCells>
  <printOptions/>
  <pageMargins left="0.33" right="0.2" top="0.27" bottom="0.2" header="0.19" footer="0.18"/>
  <pageSetup fitToHeight="2" horizontalDpi="600" verticalDpi="600" orientation="landscape" paperSize="9" scale="50" r:id="rId1"/>
  <headerFooter alignWithMargins="0">
    <oddFooter>&amp;L&amp;Z&amp;F     &amp;D</oddFooter>
  </headerFooter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3"/>
  <sheetViews>
    <sheetView zoomScale="80" zoomScaleNormal="80" zoomScalePageLayoutView="0" workbookViewId="0" topLeftCell="F28">
      <selection activeCell="H53" sqref="H53"/>
    </sheetView>
  </sheetViews>
  <sheetFormatPr defaultColWidth="9.140625" defaultRowHeight="12.75"/>
  <cols>
    <col min="1" max="1" width="56.28125" style="80" customWidth="1"/>
    <col min="2" max="2" width="9.28125" style="80" bestFit="1" customWidth="1"/>
    <col min="3" max="3" width="11.421875" style="80" bestFit="1" customWidth="1"/>
    <col min="4" max="4" width="11.00390625" style="80" customWidth="1"/>
    <col min="5" max="5" width="13.00390625" style="80" bestFit="1" customWidth="1"/>
    <col min="6" max="6" width="12.28125" style="80" customWidth="1"/>
    <col min="7" max="7" width="13.00390625" style="80" bestFit="1" customWidth="1"/>
    <col min="8" max="8" width="14.140625" style="80" customWidth="1"/>
    <col min="9" max="9" width="14.8515625" style="80" customWidth="1"/>
    <col min="10" max="10" width="12.57421875" style="80" customWidth="1"/>
    <col min="11" max="11" width="11.28125" style="80" customWidth="1"/>
    <col min="12" max="12" width="11.28125" style="80" bestFit="1" customWidth="1"/>
    <col min="13" max="13" width="10.140625" style="80" bestFit="1" customWidth="1"/>
    <col min="14" max="14" width="9.140625" style="80" customWidth="1"/>
    <col min="15" max="15" width="9.8515625" style="80" bestFit="1" customWidth="1"/>
    <col min="16" max="16" width="11.421875" style="80" customWidth="1"/>
    <col min="17" max="17" width="12.7109375" style="80" bestFit="1" customWidth="1"/>
    <col min="18" max="18" width="15.57421875" style="80" customWidth="1"/>
    <col min="19" max="19" width="2.7109375" style="80" customWidth="1"/>
    <col min="20" max="16384" width="9.140625" style="80" customWidth="1"/>
  </cols>
  <sheetData>
    <row r="1" ht="18">
      <c r="A1" s="196" t="s">
        <v>130</v>
      </c>
    </row>
    <row r="3" spans="1:11" ht="18" customHeight="1">
      <c r="A3" s="197" t="s">
        <v>131</v>
      </c>
      <c r="B3" s="185"/>
      <c r="C3" s="185"/>
      <c r="D3" s="185"/>
      <c r="E3" s="185"/>
      <c r="F3" s="185"/>
      <c r="G3" s="185"/>
      <c r="H3" s="185"/>
      <c r="I3" s="185"/>
      <c r="J3" s="185"/>
      <c r="K3" s="80">
        <f>150/52*100</f>
        <v>288.46153846153845</v>
      </c>
    </row>
    <row r="4" spans="1:10" ht="12.75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1" ht="15" customHeight="1">
      <c r="A5" s="186" t="s">
        <v>63</v>
      </c>
      <c r="B5" s="186"/>
      <c r="C5" s="186"/>
      <c r="D5" s="186"/>
      <c r="E5" s="186"/>
      <c r="F5" s="186"/>
      <c r="G5" s="186"/>
      <c r="H5" s="186"/>
      <c r="I5" s="186"/>
      <c r="J5" s="226" t="s">
        <v>109</v>
      </c>
      <c r="K5" s="226" t="s">
        <v>106</v>
      </c>
    </row>
    <row r="6" spans="1:10" ht="15.75" customHeight="1">
      <c r="A6" s="187" t="s">
        <v>87</v>
      </c>
      <c r="B6" s="186"/>
      <c r="C6" s="186"/>
      <c r="D6" s="186"/>
      <c r="E6" s="186"/>
      <c r="F6" s="186"/>
      <c r="G6" s="186"/>
      <c r="H6" s="186"/>
      <c r="I6" s="186"/>
      <c r="J6" s="231" t="s">
        <v>65</v>
      </c>
    </row>
    <row r="7" spans="1:13" ht="15" customHeight="1">
      <c r="A7" s="186"/>
      <c r="B7" s="186"/>
      <c r="C7" s="186"/>
      <c r="D7" s="186"/>
      <c r="E7" s="186"/>
      <c r="F7" s="186"/>
      <c r="G7" s="186"/>
      <c r="H7" s="227" t="s">
        <v>107</v>
      </c>
      <c r="I7" s="186"/>
      <c r="J7" s="228">
        <f>H20*15000/100</f>
        <v>9056.771731262568</v>
      </c>
      <c r="K7" s="228">
        <f>N17</f>
        <v>7747.0773</v>
      </c>
      <c r="M7" s="256">
        <f>K7*1.0745</f>
        <v>8324.23455885</v>
      </c>
    </row>
    <row r="8" spans="1:13" ht="15.75" customHeight="1">
      <c r="A8" s="188" t="s">
        <v>62</v>
      </c>
      <c r="B8" s="186"/>
      <c r="C8" s="186"/>
      <c r="D8" s="186"/>
      <c r="E8" s="186"/>
      <c r="F8" s="186"/>
      <c r="G8" s="186"/>
      <c r="H8" s="227" t="s">
        <v>108</v>
      </c>
      <c r="I8" s="186"/>
      <c r="J8" s="229">
        <f>H25*15000/100</f>
        <v>2884.275</v>
      </c>
      <c r="K8" s="229">
        <f>O17*15</f>
        <v>3691.4190000000003</v>
      </c>
      <c r="M8" s="256">
        <f>K8*1.075</f>
        <v>3968.2754250000003</v>
      </c>
    </row>
    <row r="9" spans="1:12" ht="15" customHeight="1">
      <c r="A9" s="186" t="s">
        <v>59</v>
      </c>
      <c r="B9" s="186"/>
      <c r="C9" s="186"/>
      <c r="D9" s="186"/>
      <c r="E9" s="189" t="s">
        <v>65</v>
      </c>
      <c r="F9" s="186"/>
      <c r="G9" s="186"/>
      <c r="H9" s="186"/>
      <c r="I9" s="186"/>
      <c r="J9" s="230">
        <f>SUM(J7:J8)</f>
        <v>11941.046731262568</v>
      </c>
      <c r="K9" s="230">
        <f>SUM(K7:K8)</f>
        <v>11438.4963</v>
      </c>
      <c r="L9" s="254">
        <f>(J9-K9)/K9</f>
        <v>0.04393500842086797</v>
      </c>
    </row>
    <row r="10" spans="1:10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</row>
    <row r="12" ht="13.5" thickBot="1"/>
    <row r="13" spans="1:22" ht="12.75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L13" s="151"/>
      <c r="M13" s="152"/>
      <c r="N13" s="152"/>
      <c r="O13" s="152"/>
      <c r="P13" s="153"/>
      <c r="Q13" s="153"/>
      <c r="R13" s="153"/>
      <c r="S13" s="154"/>
      <c r="T13" s="114"/>
      <c r="U13" s="110"/>
      <c r="V13" s="110"/>
    </row>
    <row r="14" spans="1:22" ht="15">
      <c r="A14" s="198" t="s">
        <v>71</v>
      </c>
      <c r="B14" s="91"/>
      <c r="C14" s="91"/>
      <c r="D14" s="82"/>
      <c r="E14" s="83"/>
      <c r="F14" s="181" t="s">
        <v>132</v>
      </c>
      <c r="G14" s="84"/>
      <c r="H14" s="85"/>
      <c r="I14" s="232"/>
      <c r="J14" s="122"/>
      <c r="L14" s="283" t="s">
        <v>76</v>
      </c>
      <c r="M14" s="284"/>
      <c r="N14" s="284"/>
      <c r="O14" s="284"/>
      <c r="P14" s="284"/>
      <c r="Q14" s="284"/>
      <c r="R14" s="284"/>
      <c r="S14" s="285"/>
      <c r="T14" s="114"/>
      <c r="U14" s="112"/>
      <c r="V14" s="113"/>
    </row>
    <row r="15" spans="1:22" ht="33.75">
      <c r="A15" s="123"/>
      <c r="B15" s="91"/>
      <c r="C15" s="91"/>
      <c r="D15" s="248" t="s">
        <v>159</v>
      </c>
      <c r="E15" s="248" t="s">
        <v>147</v>
      </c>
      <c r="F15" s="248" t="s">
        <v>148</v>
      </c>
      <c r="G15" s="248" t="s">
        <v>149</v>
      </c>
      <c r="H15" s="252" t="s">
        <v>133</v>
      </c>
      <c r="I15" s="252" t="s">
        <v>117</v>
      </c>
      <c r="J15" s="122"/>
      <c r="K15" s="87"/>
      <c r="L15" s="159"/>
      <c r="M15" s="156"/>
      <c r="N15" s="166"/>
      <c r="O15" s="165" t="s">
        <v>67</v>
      </c>
      <c r="P15" s="165" t="s">
        <v>68</v>
      </c>
      <c r="Q15" s="165"/>
      <c r="R15" s="165" t="s">
        <v>102</v>
      </c>
      <c r="S15" s="158"/>
      <c r="T15" s="114"/>
      <c r="U15" s="113"/>
      <c r="V15" s="113"/>
    </row>
    <row r="16" spans="1:22" ht="12.75">
      <c r="A16" s="121" t="s">
        <v>72</v>
      </c>
      <c r="B16" s="91"/>
      <c r="C16" s="91"/>
      <c r="D16" s="90"/>
      <c r="E16" s="90"/>
      <c r="F16" s="90"/>
      <c r="G16" s="90"/>
      <c r="H16" s="90"/>
      <c r="I16" s="90"/>
      <c r="J16" s="124"/>
      <c r="K16" s="91"/>
      <c r="L16" s="204" t="s">
        <v>103</v>
      </c>
      <c r="M16" s="156"/>
      <c r="N16" s="165" t="s">
        <v>66</v>
      </c>
      <c r="O16" s="165" t="s">
        <v>70</v>
      </c>
      <c r="P16" s="165" t="s">
        <v>69</v>
      </c>
      <c r="Q16" s="165"/>
      <c r="R16" s="165" t="s">
        <v>101</v>
      </c>
      <c r="S16" s="158"/>
      <c r="T16" s="114"/>
      <c r="U16" s="114"/>
      <c r="V16" s="114"/>
    </row>
    <row r="17" spans="1:22" ht="15">
      <c r="A17" s="123" t="s">
        <v>64</v>
      </c>
      <c r="C17" s="91" t="s">
        <v>111</v>
      </c>
      <c r="D17" s="131">
        <f>'[2]2008'!E18*1.05</f>
        <v>54.18532898842128</v>
      </c>
      <c r="E17" s="131">
        <f>171.55/288.46*100</f>
        <v>59.47098384524718</v>
      </c>
      <c r="F17" s="131">
        <f>181.97/K3*100</f>
        <v>63.08293333333334</v>
      </c>
      <c r="G17" s="131">
        <f>186.85/K3*100</f>
        <v>64.77466666666668</v>
      </c>
      <c r="H17" s="92">
        <f>AVERAGE(D17:G17)</f>
        <v>60.37847820841712</v>
      </c>
      <c r="I17" s="92">
        <v>58.115345411264414</v>
      </c>
      <c r="J17" s="124"/>
      <c r="L17" s="155"/>
      <c r="M17" s="160">
        <v>2009</v>
      </c>
      <c r="N17" s="171">
        <f>N20*1.0389</f>
        <v>7747.0773</v>
      </c>
      <c r="O17" s="167">
        <f>O20*1.0562</f>
        <v>246.0946</v>
      </c>
      <c r="P17" s="169">
        <v>0.78</v>
      </c>
      <c r="Q17" s="206"/>
      <c r="R17" s="220">
        <f>N17+O17*15</f>
        <v>11438.4963</v>
      </c>
      <c r="S17" s="158"/>
      <c r="T17" s="114"/>
      <c r="U17" s="114"/>
      <c r="V17" s="114"/>
    </row>
    <row r="18" spans="1:22" ht="15" thickBot="1">
      <c r="A18" s="123"/>
      <c r="C18" s="91"/>
      <c r="D18" s="131"/>
      <c r="E18" s="131"/>
      <c r="F18" s="131"/>
      <c r="G18" s="131"/>
      <c r="H18" s="92"/>
      <c r="I18" s="92"/>
      <c r="J18" s="124"/>
      <c r="L18" s="161"/>
      <c r="M18" s="182"/>
      <c r="N18" s="162"/>
      <c r="O18" s="261" t="s">
        <v>65</v>
      </c>
      <c r="P18" s="162"/>
      <c r="Q18" s="162"/>
      <c r="R18" s="221" t="s">
        <v>104</v>
      </c>
      <c r="S18" s="163"/>
      <c r="T18" s="114"/>
      <c r="U18" s="114"/>
      <c r="V18" s="114"/>
    </row>
    <row r="19" spans="1:22" ht="14.25">
      <c r="A19" s="123"/>
      <c r="C19" s="91"/>
      <c r="D19" s="131"/>
      <c r="E19" s="131"/>
      <c r="F19" s="131"/>
      <c r="G19" s="131"/>
      <c r="H19" s="92"/>
      <c r="I19" s="92"/>
      <c r="J19" s="124"/>
      <c r="L19" s="183" t="s">
        <v>86</v>
      </c>
      <c r="M19" s="146"/>
      <c r="N19" s="139"/>
      <c r="O19" s="139"/>
      <c r="P19" s="139"/>
      <c r="Q19" s="139"/>
      <c r="R19" s="222"/>
      <c r="S19" s="140"/>
      <c r="T19" s="114"/>
      <c r="U19" s="114"/>
      <c r="V19" s="114"/>
    </row>
    <row r="20" spans="1:22" ht="15">
      <c r="A20" s="123"/>
      <c r="C20" s="91"/>
      <c r="D20" s="131"/>
      <c r="E20" s="132"/>
      <c r="F20" s="131"/>
      <c r="G20" s="131"/>
      <c r="H20" s="172">
        <f>SUM(H17:H19)</f>
        <v>60.37847820841712</v>
      </c>
      <c r="I20" s="177">
        <v>58.115345411264414</v>
      </c>
      <c r="J20" s="124"/>
      <c r="L20" s="138"/>
      <c r="M20" s="143">
        <v>2008</v>
      </c>
      <c r="N20" s="144">
        <v>7457</v>
      </c>
      <c r="O20" s="144">
        <v>233</v>
      </c>
      <c r="P20" s="145">
        <v>0.75</v>
      </c>
      <c r="Q20" s="205"/>
      <c r="R20" s="223">
        <f>N20+O20*15</f>
        <v>10952</v>
      </c>
      <c r="S20" s="140"/>
      <c r="T20" s="114"/>
      <c r="U20" s="115"/>
      <c r="V20" s="114"/>
    </row>
    <row r="21" spans="1:22" ht="12.75">
      <c r="A21" s="121" t="s">
        <v>7</v>
      </c>
      <c r="C21" s="91"/>
      <c r="D21" s="131"/>
      <c r="E21" s="131"/>
      <c r="F21" s="131"/>
      <c r="G21" s="131"/>
      <c r="H21" s="92"/>
      <c r="I21" s="92"/>
      <c r="J21" s="124"/>
      <c r="L21" s="138"/>
      <c r="M21" s="139"/>
      <c r="N21" s="139"/>
      <c r="O21" s="139"/>
      <c r="P21" s="139"/>
      <c r="Q21" s="139"/>
      <c r="R21" s="139"/>
      <c r="S21" s="140"/>
      <c r="T21" s="114"/>
      <c r="U21" s="114"/>
      <c r="V21" s="114"/>
    </row>
    <row r="22" spans="1:22" ht="12.75">
      <c r="A22" s="123"/>
      <c r="C22" s="91" t="s">
        <v>111</v>
      </c>
      <c r="D22" s="131">
        <f>'[2]2008'!E23*1.05</f>
        <v>18.774</v>
      </c>
      <c r="E22" s="131">
        <v>18.94</v>
      </c>
      <c r="F22" s="131">
        <v>19.92</v>
      </c>
      <c r="G22" s="131">
        <v>19.28</v>
      </c>
      <c r="H22" s="92">
        <f>AVERAGE(D22:G22)</f>
        <v>19.2285</v>
      </c>
      <c r="I22" s="92">
        <v>18.205</v>
      </c>
      <c r="J22" s="124"/>
      <c r="L22" s="138"/>
      <c r="M22" s="139"/>
      <c r="N22" s="139"/>
      <c r="O22" s="139"/>
      <c r="P22" s="139"/>
      <c r="Q22" s="139"/>
      <c r="R22" s="139"/>
      <c r="S22" s="140"/>
      <c r="T22" s="114"/>
      <c r="U22" s="114"/>
      <c r="V22" s="114"/>
    </row>
    <row r="23" spans="1:22" ht="15">
      <c r="A23" s="123"/>
      <c r="B23" s="91"/>
      <c r="C23" s="91"/>
      <c r="D23" s="131"/>
      <c r="E23" s="131"/>
      <c r="F23" s="131"/>
      <c r="G23" s="131"/>
      <c r="H23" s="92"/>
      <c r="I23" s="92"/>
      <c r="J23" s="124"/>
      <c r="L23" s="235" t="s">
        <v>65</v>
      </c>
      <c r="M23" s="143">
        <v>2007</v>
      </c>
      <c r="N23" s="144">
        <v>7457</v>
      </c>
      <c r="O23" s="144">
        <v>233</v>
      </c>
      <c r="P23" s="145">
        <v>0.75</v>
      </c>
      <c r="Q23" s="205"/>
      <c r="R23" s="223">
        <f>N23+O23*15</f>
        <v>10952</v>
      </c>
      <c r="S23" s="140"/>
      <c r="U23" s="114"/>
      <c r="V23" s="114"/>
    </row>
    <row r="24" spans="1:22" ht="14.25">
      <c r="A24" s="247" t="s">
        <v>146</v>
      </c>
      <c r="B24" s="91"/>
      <c r="C24" s="91"/>
      <c r="D24" s="131"/>
      <c r="E24" s="131"/>
      <c r="F24" s="131"/>
      <c r="G24" s="131"/>
      <c r="H24" s="92"/>
      <c r="I24" s="92"/>
      <c r="J24" s="124"/>
      <c r="L24" s="138"/>
      <c r="M24" s="146"/>
      <c r="N24" s="142"/>
      <c r="O24" s="142"/>
      <c r="P24" s="142"/>
      <c r="Q24" s="142"/>
      <c r="R24" s="224"/>
      <c r="S24" s="140"/>
      <c r="U24" s="114"/>
      <c r="V24" s="114"/>
    </row>
    <row r="25" spans="1:22" ht="14.25">
      <c r="A25" s="123"/>
      <c r="B25" s="91"/>
      <c r="C25" s="91"/>
      <c r="D25" s="93"/>
      <c r="E25" s="93"/>
      <c r="F25" s="93"/>
      <c r="G25" s="93"/>
      <c r="H25" s="168">
        <f>SUM(H22:H24)</f>
        <v>19.2285</v>
      </c>
      <c r="I25" s="177">
        <v>18.205</v>
      </c>
      <c r="J25" s="124"/>
      <c r="L25" s="138"/>
      <c r="M25" s="146"/>
      <c r="N25" s="142"/>
      <c r="O25" s="142"/>
      <c r="P25" s="142"/>
      <c r="Q25" s="142"/>
      <c r="R25" s="224"/>
      <c r="S25" s="140"/>
      <c r="T25" s="114"/>
      <c r="U25" s="115"/>
      <c r="V25" s="117"/>
    </row>
    <row r="26" spans="1:20" ht="15">
      <c r="A26" s="123"/>
      <c r="B26" s="91"/>
      <c r="C26" s="91"/>
      <c r="D26" s="91"/>
      <c r="E26" s="91"/>
      <c r="F26" s="91"/>
      <c r="G26" s="91"/>
      <c r="H26" s="91"/>
      <c r="I26" s="91"/>
      <c r="J26" s="124"/>
      <c r="L26" s="138"/>
      <c r="M26" s="143">
        <v>2006</v>
      </c>
      <c r="N26" s="144">
        <v>7457</v>
      </c>
      <c r="O26" s="144">
        <v>158</v>
      </c>
      <c r="P26" s="145">
        <v>0.65</v>
      </c>
      <c r="Q26" s="205"/>
      <c r="R26" s="223">
        <f>N26+O26*15</f>
        <v>9827</v>
      </c>
      <c r="S26" s="140"/>
      <c r="T26" s="114"/>
    </row>
    <row r="27" spans="1:20" ht="14.25">
      <c r="A27" s="121" t="s">
        <v>143</v>
      </c>
      <c r="B27" s="95"/>
      <c r="C27" s="95"/>
      <c r="D27" s="125">
        <f>SUM(D17:D24)</f>
        <v>72.95932898842128</v>
      </c>
      <c r="E27" s="125">
        <f>SUM(E17:E24)</f>
        <v>78.41098384524719</v>
      </c>
      <c r="F27" s="125">
        <f>SUM(F17:F24)</f>
        <v>83.00293333333335</v>
      </c>
      <c r="G27" s="125">
        <f>SUM(G17:G24)</f>
        <v>84.05466666666668</v>
      </c>
      <c r="H27" s="126">
        <f>SUM(H20:H24)</f>
        <v>79.60697820841712</v>
      </c>
      <c r="I27" s="192">
        <v>76.32034541126441</v>
      </c>
      <c r="J27" s="124"/>
      <c r="L27" s="138"/>
      <c r="M27" s="146"/>
      <c r="N27" s="142"/>
      <c r="O27" s="142"/>
      <c r="P27" s="142"/>
      <c r="Q27" s="142"/>
      <c r="R27" s="224"/>
      <c r="S27" s="140"/>
      <c r="T27" s="114"/>
    </row>
    <row r="28" spans="1:19" ht="14.25">
      <c r="A28" s="121"/>
      <c r="B28" s="95"/>
      <c r="C28" s="95"/>
      <c r="D28" s="125"/>
      <c r="E28" s="125"/>
      <c r="F28" s="125"/>
      <c r="G28" s="125"/>
      <c r="H28" s="134"/>
      <c r="I28" s="134"/>
      <c r="J28" s="124"/>
      <c r="K28" s="111"/>
      <c r="L28" s="138"/>
      <c r="M28" s="146"/>
      <c r="N28" s="142"/>
      <c r="O28" s="142"/>
      <c r="P28" s="142"/>
      <c r="Q28" s="142"/>
      <c r="R28" s="224"/>
      <c r="S28" s="140"/>
    </row>
    <row r="29" spans="1:19" ht="15">
      <c r="A29" s="130" t="s">
        <v>144</v>
      </c>
      <c r="B29" s="135"/>
      <c r="C29" s="135"/>
      <c r="D29" s="136">
        <f>D27*(15000/52)/100</f>
        <v>210.4596028512152</v>
      </c>
      <c r="E29" s="136">
        <f>E27*(15000/52)/100</f>
        <v>226.1855303228284</v>
      </c>
      <c r="F29" s="136">
        <f>F27*(15000/52)/100</f>
        <v>239.43153846153848</v>
      </c>
      <c r="G29" s="136">
        <f>G27*(15000/52)/100</f>
        <v>242.46538461538464</v>
      </c>
      <c r="H29" s="170">
        <f>H27*(15000/52)/100</f>
        <v>229.63551406274166</v>
      </c>
      <c r="I29" s="193">
        <v>220.1548425324935</v>
      </c>
      <c r="J29" s="124"/>
      <c r="K29" s="111"/>
      <c r="L29" s="138"/>
      <c r="M29" s="143">
        <v>2005</v>
      </c>
      <c r="N29" s="144">
        <v>7457</v>
      </c>
      <c r="O29" s="144">
        <v>145</v>
      </c>
      <c r="P29" s="145">
        <v>0.65</v>
      </c>
      <c r="Q29" s="205"/>
      <c r="R29" s="223">
        <f>N29+O29*15</f>
        <v>9632</v>
      </c>
      <c r="S29" s="140"/>
    </row>
    <row r="30" spans="1:19" ht="15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9"/>
      <c r="L30" s="138"/>
      <c r="M30" s="146"/>
      <c r="N30" s="142"/>
      <c r="O30" s="142"/>
      <c r="P30" s="142"/>
      <c r="Q30" s="142"/>
      <c r="R30" s="224"/>
      <c r="S30" s="140"/>
    </row>
    <row r="31" spans="12:19" ht="14.25">
      <c r="L31" s="235" t="s">
        <v>65</v>
      </c>
      <c r="M31" s="146"/>
      <c r="N31" s="142"/>
      <c r="O31" s="142"/>
      <c r="P31" s="142"/>
      <c r="Q31" s="142"/>
      <c r="R31" s="224"/>
      <c r="S31" s="140"/>
    </row>
    <row r="32" spans="12:19" ht="15">
      <c r="L32" s="138"/>
      <c r="M32" s="143">
        <v>2004</v>
      </c>
      <c r="N32" s="144">
        <v>7457</v>
      </c>
      <c r="O32" s="144">
        <v>145</v>
      </c>
      <c r="P32" s="145">
        <v>0.65</v>
      </c>
      <c r="Q32" s="205"/>
      <c r="R32" s="223">
        <f>N32+O32*15</f>
        <v>9632</v>
      </c>
      <c r="S32" s="140"/>
    </row>
    <row r="33" spans="12:19" ht="15.75" thickBot="1">
      <c r="L33" s="138"/>
      <c r="M33" s="143"/>
      <c r="N33" s="223"/>
      <c r="O33" s="223"/>
      <c r="P33" s="205"/>
      <c r="Q33" s="205"/>
      <c r="R33" s="223"/>
      <c r="S33" s="140"/>
    </row>
    <row r="34" spans="1:19" ht="13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  <c r="L34" s="138"/>
      <c r="M34" s="146"/>
      <c r="N34" s="142"/>
      <c r="O34" s="142"/>
      <c r="P34" s="142"/>
      <c r="Q34" s="142"/>
      <c r="R34" s="224"/>
      <c r="S34" s="140"/>
    </row>
    <row r="35" spans="1:19" ht="15">
      <c r="A35" s="198" t="s">
        <v>73</v>
      </c>
      <c r="B35" s="91"/>
      <c r="C35" s="91"/>
      <c r="D35" s="82"/>
      <c r="E35" s="83"/>
      <c r="F35" s="181" t="s">
        <v>153</v>
      </c>
      <c r="G35" s="84"/>
      <c r="H35" s="85"/>
      <c r="I35" s="85"/>
      <c r="J35" s="122"/>
      <c r="L35" s="141"/>
      <c r="M35" s="143">
        <v>2003</v>
      </c>
      <c r="N35" s="144">
        <v>7457</v>
      </c>
      <c r="O35" s="144">
        <v>145</v>
      </c>
      <c r="P35" s="145">
        <v>0.65</v>
      </c>
      <c r="Q35" s="205"/>
      <c r="R35" s="223">
        <f>N35+O35*15</f>
        <v>9632</v>
      </c>
      <c r="S35" s="140"/>
    </row>
    <row r="36" spans="1:19" ht="34.5" thickBot="1">
      <c r="A36" s="265" t="s">
        <v>163</v>
      </c>
      <c r="B36" s="91"/>
      <c r="C36" s="91"/>
      <c r="D36" s="248" t="s">
        <v>150</v>
      </c>
      <c r="E36" s="248" t="s">
        <v>147</v>
      </c>
      <c r="F36" s="248" t="s">
        <v>148</v>
      </c>
      <c r="G36" s="248" t="s">
        <v>149</v>
      </c>
      <c r="H36" s="249" t="s">
        <v>17</v>
      </c>
      <c r="I36" s="249" t="s">
        <v>17</v>
      </c>
      <c r="J36" s="122"/>
      <c r="L36" s="148"/>
      <c r="M36" s="149"/>
      <c r="N36" s="149"/>
      <c r="O36" s="149"/>
      <c r="P36" s="149"/>
      <c r="Q36" s="149"/>
      <c r="R36" s="149"/>
      <c r="S36" s="150"/>
    </row>
    <row r="37" spans="1:10" ht="12.75">
      <c r="A37" s="121" t="s">
        <v>65</v>
      </c>
      <c r="B37" s="91"/>
      <c r="C37" s="91"/>
      <c r="D37" s="90"/>
      <c r="E37" s="90"/>
      <c r="F37" s="90"/>
      <c r="G37" s="90"/>
      <c r="H37" s="90"/>
      <c r="I37" s="90"/>
      <c r="J37" s="124"/>
    </row>
    <row r="38" spans="1:10" ht="13.5" thickBot="1">
      <c r="A38" s="121" t="s">
        <v>161</v>
      </c>
      <c r="B38" s="91" t="s">
        <v>65</v>
      </c>
      <c r="C38" s="91"/>
      <c r="D38" s="199">
        <f>201.57*1.04</f>
        <v>209.6328</v>
      </c>
      <c r="E38" s="199">
        <f>219.08*1.04</f>
        <v>227.84320000000002</v>
      </c>
      <c r="F38" s="199">
        <f>231.45*1.04</f>
        <v>240.708</v>
      </c>
      <c r="G38" s="199">
        <f>228.13*1.04</f>
        <v>237.2552</v>
      </c>
      <c r="H38" s="200">
        <f>AVERAGE(D38:G38)</f>
        <v>228.8598</v>
      </c>
      <c r="I38" s="201">
        <v>220.0575</v>
      </c>
      <c r="J38" s="124"/>
    </row>
    <row r="39" spans="1:19" ht="12.75">
      <c r="A39" s="123"/>
      <c r="B39" s="91"/>
      <c r="C39" s="91"/>
      <c r="D39" s="91"/>
      <c r="E39" s="91"/>
      <c r="F39" s="91"/>
      <c r="G39" s="91"/>
      <c r="H39" s="91"/>
      <c r="I39" s="91"/>
      <c r="J39" s="124"/>
      <c r="L39" s="151"/>
      <c r="M39" s="152"/>
      <c r="N39" s="152"/>
      <c r="O39" s="152"/>
      <c r="P39" s="152"/>
      <c r="Q39" s="152"/>
      <c r="R39" s="152"/>
      <c r="S39" s="154"/>
    </row>
    <row r="40" spans="1:19" ht="12.75">
      <c r="A40" s="121" t="s">
        <v>137</v>
      </c>
      <c r="B40" s="95"/>
      <c r="C40" s="95"/>
      <c r="D40" s="125">
        <v>72.67</v>
      </c>
      <c r="E40" s="125">
        <v>78.98</v>
      </c>
      <c r="F40" s="125">
        <v>83.45</v>
      </c>
      <c r="G40" s="125">
        <v>82.25</v>
      </c>
      <c r="H40" s="126">
        <f>AVERAGE(D40:G40)</f>
        <v>79.3375</v>
      </c>
      <c r="I40" s="192">
        <v>76.29</v>
      </c>
      <c r="J40" s="124"/>
      <c r="L40" s="204" t="s">
        <v>99</v>
      </c>
      <c r="M40" s="156"/>
      <c r="N40" s="156"/>
      <c r="O40" s="156"/>
      <c r="P40" s="156"/>
      <c r="Q40" s="156"/>
      <c r="R40" s="156"/>
      <c r="S40" s="158"/>
    </row>
    <row r="41" spans="1:19" ht="13.5" thickBot="1">
      <c r="A41" s="121"/>
      <c r="B41" s="95"/>
      <c r="C41" s="95"/>
      <c r="D41" s="125"/>
      <c r="E41" s="125"/>
      <c r="F41" s="125"/>
      <c r="G41" s="125"/>
      <c r="H41" s="134"/>
      <c r="I41" s="133"/>
      <c r="J41" s="124"/>
      <c r="L41" s="161"/>
      <c r="M41" s="162"/>
      <c r="N41" s="162"/>
      <c r="O41" s="162"/>
      <c r="P41" s="162"/>
      <c r="Q41" s="162"/>
      <c r="R41" s="162"/>
      <c r="S41" s="163"/>
    </row>
    <row r="42" spans="1:19" ht="15">
      <c r="A42" s="130" t="s">
        <v>138</v>
      </c>
      <c r="B42" s="135"/>
      <c r="C42" s="135"/>
      <c r="D42" s="136">
        <f>D40*(15000/52)/100</f>
        <v>209.625</v>
      </c>
      <c r="E42" s="136">
        <f>E40*(15000/52)/100</f>
        <v>227.8269230769231</v>
      </c>
      <c r="F42" s="136">
        <f>F40*(15000/52)/100</f>
        <v>240.72115384615384</v>
      </c>
      <c r="G42" s="136">
        <f>G40*(15000/52)/100</f>
        <v>237.2596153846154</v>
      </c>
      <c r="H42" s="170">
        <f>H40*(15000/52)/100</f>
        <v>228.8581730769231</v>
      </c>
      <c r="I42" s="193">
        <v>220.06730769230765</v>
      </c>
      <c r="J42" s="124"/>
      <c r="L42" s="207"/>
      <c r="M42" s="210">
        <v>2009</v>
      </c>
      <c r="N42" s="264"/>
      <c r="O42" s="210">
        <v>2008</v>
      </c>
      <c r="P42" s="259"/>
      <c r="Q42" s="210" t="s">
        <v>100</v>
      </c>
      <c r="R42" s="259"/>
      <c r="S42" s="211"/>
    </row>
    <row r="43" spans="1:19" ht="15.75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9"/>
      <c r="K43" s="94"/>
      <c r="L43" s="212" t="s">
        <v>66</v>
      </c>
      <c r="M43" s="218">
        <f>N17</f>
        <v>7747.0773</v>
      </c>
      <c r="N43" s="260"/>
      <c r="O43" s="218">
        <f>N23</f>
        <v>7457</v>
      </c>
      <c r="P43" s="259"/>
      <c r="Q43" s="213">
        <f>(M43-O43)/O43</f>
        <v>0.03889999999999999</v>
      </c>
      <c r="R43" s="259"/>
      <c r="S43" s="211"/>
    </row>
    <row r="44" spans="1:19" ht="1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4"/>
      <c r="L44" s="212" t="s">
        <v>67</v>
      </c>
      <c r="M44" s="218">
        <f>O17*15</f>
        <v>3691.4190000000003</v>
      </c>
      <c r="N44" s="260"/>
      <c r="O44" s="218">
        <f>233*15</f>
        <v>3495</v>
      </c>
      <c r="P44" s="259"/>
      <c r="Q44" s="213">
        <f>(M44-O44)/O44</f>
        <v>0.05620000000000009</v>
      </c>
      <c r="R44" s="259"/>
      <c r="S44" s="211"/>
    </row>
    <row r="45" spans="1:19" ht="15.75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4"/>
      <c r="L45" s="212"/>
      <c r="M45" s="262">
        <f>SUM(M43:M44)</f>
        <v>11438.4963</v>
      </c>
      <c r="N45" s="263"/>
      <c r="O45" s="262">
        <f>SUM(O43:O44)</f>
        <v>10952</v>
      </c>
      <c r="P45" s="259"/>
      <c r="Q45" s="213">
        <f>(M45-O45)/O45</f>
        <v>0.0444207724616509</v>
      </c>
      <c r="R45" s="259"/>
      <c r="S45" s="211"/>
    </row>
    <row r="46" spans="1:19" ht="14.25">
      <c r="A46" s="118"/>
      <c r="B46" s="119"/>
      <c r="C46" s="119"/>
      <c r="D46" s="119"/>
      <c r="E46" s="119"/>
      <c r="F46" s="119"/>
      <c r="G46" s="119"/>
      <c r="H46" s="119"/>
      <c r="I46" s="119"/>
      <c r="J46" s="120"/>
      <c r="K46" s="94"/>
      <c r="L46" s="212"/>
      <c r="M46" s="218"/>
      <c r="N46" s="260"/>
      <c r="O46" s="218"/>
      <c r="P46" s="259"/>
      <c r="Q46" s="214"/>
      <c r="R46" s="259"/>
      <c r="S46" s="211"/>
    </row>
    <row r="47" spans="1:19" ht="15">
      <c r="A47" s="130" t="s">
        <v>139</v>
      </c>
      <c r="B47" s="91"/>
      <c r="C47" s="91"/>
      <c r="D47" s="91"/>
      <c r="E47" s="91"/>
      <c r="F47" s="91"/>
      <c r="G47" s="91"/>
      <c r="H47" s="137" t="s">
        <v>133</v>
      </c>
      <c r="I47" s="137" t="s">
        <v>117</v>
      </c>
      <c r="J47" s="124"/>
      <c r="K47" s="94"/>
      <c r="L47" s="212" t="s">
        <v>68</v>
      </c>
      <c r="M47" s="225">
        <f>P17</f>
        <v>0.78</v>
      </c>
      <c r="N47" s="260"/>
      <c r="O47" s="225">
        <v>0.75</v>
      </c>
      <c r="P47" s="259"/>
      <c r="Q47" s="213">
        <f>(M47-O47)/O47</f>
        <v>0.040000000000000036</v>
      </c>
      <c r="R47" s="259"/>
      <c r="S47" s="211"/>
    </row>
    <row r="48" spans="1:19" ht="12.75">
      <c r="A48" s="123"/>
      <c r="B48" s="91"/>
      <c r="C48" s="91"/>
      <c r="D48" s="91"/>
      <c r="E48" s="91"/>
      <c r="F48" s="91"/>
      <c r="G48" s="91"/>
      <c r="H48" s="91"/>
      <c r="I48" s="91"/>
      <c r="J48" s="124"/>
      <c r="K48" s="94"/>
      <c r="L48" s="207"/>
      <c r="M48" s="259" t="s">
        <v>65</v>
      </c>
      <c r="N48" s="259"/>
      <c r="O48" s="259"/>
      <c r="P48" s="259"/>
      <c r="Q48" s="259"/>
      <c r="R48" s="259"/>
      <c r="S48" s="211"/>
    </row>
    <row r="49" spans="1:19" ht="12.75">
      <c r="A49" s="121" t="s">
        <v>140</v>
      </c>
      <c r="B49" s="91"/>
      <c r="C49" s="91"/>
      <c r="D49" s="116">
        <f>(D40+D27)/2/100</f>
        <v>0.7281466449421063</v>
      </c>
      <c r="E49" s="116">
        <f>(E40+E27)/2/100</f>
        <v>0.7869549192262361</v>
      </c>
      <c r="F49" s="116">
        <f>(F40+F27)/2/100</f>
        <v>0.8322646666666668</v>
      </c>
      <c r="G49" s="116">
        <f>(G40+G27)/2/100</f>
        <v>0.8315233333333333</v>
      </c>
      <c r="H49" s="250">
        <f>(H40+H27)/2/100</f>
        <v>0.7947223910420856</v>
      </c>
      <c r="I49" s="234">
        <v>0.7630517270563221</v>
      </c>
      <c r="J49" s="124"/>
      <c r="L49" s="207"/>
      <c r="M49" s="259"/>
      <c r="N49" s="259"/>
      <c r="O49" s="259"/>
      <c r="P49" s="259"/>
      <c r="Q49" s="259"/>
      <c r="R49" s="259"/>
      <c r="S49" s="211"/>
    </row>
    <row r="50" spans="1:19" ht="13.5" thickBot="1">
      <c r="A50" s="121"/>
      <c r="B50" s="91"/>
      <c r="C50" s="91"/>
      <c r="D50" s="116"/>
      <c r="E50" s="116"/>
      <c r="F50" s="116"/>
      <c r="G50" s="116"/>
      <c r="H50" s="116"/>
      <c r="I50" s="116"/>
      <c r="J50" s="124"/>
      <c r="L50" s="215"/>
      <c r="M50" s="216"/>
      <c r="N50" s="216"/>
      <c r="O50" s="216"/>
      <c r="P50" s="216"/>
      <c r="Q50" s="216"/>
      <c r="R50" s="216"/>
      <c r="S50" s="217"/>
    </row>
    <row r="51" spans="1:10" ht="12.75">
      <c r="A51" s="121" t="s">
        <v>141</v>
      </c>
      <c r="B51" s="91"/>
      <c r="C51" s="91"/>
      <c r="D51" s="116">
        <f>(D42+D29)/2</f>
        <v>210.0423014256076</v>
      </c>
      <c r="E51" s="116">
        <f>(E42+E29)/2</f>
        <v>227.00622669987575</v>
      </c>
      <c r="F51" s="116">
        <f>(F42+F29)/2</f>
        <v>240.07634615384615</v>
      </c>
      <c r="G51" s="116">
        <f>(G42+G29)/2</f>
        <v>239.8625</v>
      </c>
      <c r="H51" s="202">
        <f>(H42+H29)/2</f>
        <v>229.24684356983238</v>
      </c>
      <c r="I51" s="194">
        <v>220.11107511240056</v>
      </c>
      <c r="J51" s="124"/>
    </row>
    <row r="52" spans="1:19" ht="12.75">
      <c r="A52" s="121"/>
      <c r="B52" s="91"/>
      <c r="C52" s="91"/>
      <c r="D52" s="91"/>
      <c r="E52" s="91"/>
      <c r="F52" s="91"/>
      <c r="G52" s="91"/>
      <c r="H52" s="91"/>
      <c r="I52" s="91"/>
      <c r="J52" s="124"/>
      <c r="L52" s="203" t="s">
        <v>151</v>
      </c>
      <c r="M52" s="203"/>
      <c r="N52" s="203"/>
      <c r="O52" s="203"/>
      <c r="P52" s="203"/>
      <c r="Q52" s="203"/>
      <c r="R52" s="203"/>
      <c r="S52" s="203"/>
    </row>
    <row r="53" spans="1:19" ht="15">
      <c r="A53" s="174" t="s">
        <v>142</v>
      </c>
      <c r="B53" s="175"/>
      <c r="C53" s="175"/>
      <c r="D53" s="176">
        <f>D51*52</f>
        <v>10922.199674131596</v>
      </c>
      <c r="E53" s="176">
        <f>E51*52</f>
        <v>11804.32378839354</v>
      </c>
      <c r="F53" s="176">
        <f>F51*52</f>
        <v>12483.97</v>
      </c>
      <c r="G53" s="176">
        <f>G51*52</f>
        <v>12472.85</v>
      </c>
      <c r="H53" s="184">
        <f>H51*52</f>
        <v>11920.835865631283</v>
      </c>
      <c r="I53" s="195">
        <v>11445.775905844828</v>
      </c>
      <c r="J53" s="124"/>
      <c r="L53" s="203" t="s">
        <v>152</v>
      </c>
      <c r="M53" s="203"/>
      <c r="N53" s="203"/>
      <c r="O53" s="203"/>
      <c r="P53" s="203"/>
      <c r="Q53" s="203"/>
      <c r="R53" s="203"/>
      <c r="S53" s="203"/>
    </row>
    <row r="54" spans="1:19" ht="13.5" thickBot="1">
      <c r="A54" s="173"/>
      <c r="B54" s="128"/>
      <c r="C54" s="128"/>
      <c r="D54" s="128"/>
      <c r="E54" s="128"/>
      <c r="F54" s="128"/>
      <c r="G54" s="128"/>
      <c r="H54" s="128"/>
      <c r="I54" s="128"/>
      <c r="J54" s="129"/>
      <c r="L54" s="203"/>
      <c r="M54" s="203"/>
      <c r="N54" s="203"/>
      <c r="O54" s="203"/>
      <c r="P54" s="203"/>
      <c r="Q54" s="203"/>
      <c r="R54" s="203"/>
      <c r="S54" s="203"/>
    </row>
    <row r="55" spans="12:19" ht="12.75">
      <c r="L55" s="203" t="s">
        <v>123</v>
      </c>
      <c r="M55" s="203"/>
      <c r="N55" s="203"/>
      <c r="O55" s="203"/>
      <c r="P55" s="203"/>
      <c r="Q55" s="203"/>
      <c r="R55" s="203"/>
      <c r="S55" s="203"/>
    </row>
    <row r="56" spans="12:19" ht="12.75">
      <c r="L56" s="203" t="s">
        <v>124</v>
      </c>
      <c r="M56" s="203"/>
      <c r="N56" s="203"/>
      <c r="O56" s="203"/>
      <c r="P56" s="203"/>
      <c r="Q56" s="203"/>
      <c r="R56" s="203"/>
      <c r="S56" s="203"/>
    </row>
    <row r="57" spans="12:19" ht="12.75">
      <c r="L57" s="203" t="s">
        <v>125</v>
      </c>
      <c r="M57" s="203"/>
      <c r="N57" s="203"/>
      <c r="O57" s="203"/>
      <c r="P57" s="203"/>
      <c r="Q57" s="203"/>
      <c r="R57" s="203"/>
      <c r="S57" s="203"/>
    </row>
    <row r="58" spans="1:19" ht="12.75">
      <c r="A58" s="96"/>
      <c r="B58" s="97"/>
      <c r="C58" s="97"/>
      <c r="D58" s="97"/>
      <c r="E58" s="97"/>
      <c r="F58" s="97"/>
      <c r="G58" s="97"/>
      <c r="H58" s="98"/>
      <c r="I58" s="98"/>
      <c r="J58" s="180"/>
      <c r="K58" s="91"/>
      <c r="R58" s="203"/>
      <c r="S58" s="203"/>
    </row>
    <row r="59" spans="1:19" ht="12.75">
      <c r="A59" s="103" t="s">
        <v>48</v>
      </c>
      <c r="B59" s="95"/>
      <c r="C59" s="102"/>
      <c r="D59" s="102"/>
      <c r="E59" s="102"/>
      <c r="F59" s="102"/>
      <c r="G59" s="95"/>
      <c r="H59" s="137" t="s">
        <v>84</v>
      </c>
      <c r="I59" s="137" t="s">
        <v>85</v>
      </c>
      <c r="J59" s="180"/>
      <c r="K59" s="91"/>
      <c r="L59" s="203" t="s">
        <v>126</v>
      </c>
      <c r="R59" s="203"/>
      <c r="S59" s="203"/>
    </row>
    <row r="60" spans="1:13" ht="12.75">
      <c r="A60" s="101" t="s">
        <v>37</v>
      </c>
      <c r="B60" s="95"/>
      <c r="C60" s="91"/>
      <c r="D60" s="102">
        <v>178.63</v>
      </c>
      <c r="E60" s="102">
        <v>152.71</v>
      </c>
      <c r="F60" s="102">
        <v>180.78</v>
      </c>
      <c r="G60" s="102">
        <v>183.82</v>
      </c>
      <c r="H60" s="190">
        <f>AVERAGE(D60:G60)</f>
        <v>173.985</v>
      </c>
      <c r="I60" s="100">
        <f>H60*52</f>
        <v>9047.220000000001</v>
      </c>
      <c r="J60" s="180"/>
      <c r="K60" s="91"/>
      <c r="L60" s="203" t="s">
        <v>127</v>
      </c>
      <c r="M60" s="109"/>
    </row>
    <row r="61" spans="1:13" ht="12.75">
      <c r="A61" s="101"/>
      <c r="B61" s="95"/>
      <c r="C61" s="91"/>
      <c r="D61" s="95"/>
      <c r="E61" s="95"/>
      <c r="F61" s="95"/>
      <c r="G61" s="95"/>
      <c r="H61" s="91"/>
      <c r="I61" s="91"/>
      <c r="J61" s="180"/>
      <c r="K61" s="91"/>
      <c r="L61" s="203" t="s">
        <v>128</v>
      </c>
      <c r="M61" s="91"/>
    </row>
    <row r="62" spans="1:13" ht="12.75">
      <c r="A62" s="103" t="s">
        <v>49</v>
      </c>
      <c r="B62" s="95"/>
      <c r="C62" s="91"/>
      <c r="D62" s="102"/>
      <c r="E62" s="102"/>
      <c r="F62" s="102"/>
      <c r="G62" s="102"/>
      <c r="H62" s="91"/>
      <c r="I62" s="91"/>
      <c r="J62" s="180"/>
      <c r="K62" s="91"/>
      <c r="L62" s="203" t="s">
        <v>129</v>
      </c>
      <c r="M62" s="91"/>
    </row>
    <row r="63" spans="1:11" ht="12.75">
      <c r="A63" s="101" t="s">
        <v>37</v>
      </c>
      <c r="B63" s="95"/>
      <c r="C63" s="91"/>
      <c r="D63" s="102">
        <v>184.79</v>
      </c>
      <c r="E63" s="102">
        <v>162.41</v>
      </c>
      <c r="F63" s="102">
        <v>182.19</v>
      </c>
      <c r="G63" s="102">
        <v>180.76</v>
      </c>
      <c r="H63" s="190">
        <f>AVERAGE(D63:G63)</f>
        <v>177.5375</v>
      </c>
      <c r="I63" s="100">
        <f>H63*52</f>
        <v>9231.949999999999</v>
      </c>
      <c r="J63" s="180"/>
      <c r="K63" s="91"/>
    </row>
    <row r="64" spans="1:11" ht="12.75">
      <c r="A64" s="101"/>
      <c r="B64" s="95"/>
      <c r="C64" s="91"/>
      <c r="D64" s="95"/>
      <c r="E64" s="95"/>
      <c r="F64" s="95"/>
      <c r="G64" s="95"/>
      <c r="H64" s="91"/>
      <c r="I64" s="91"/>
      <c r="J64" s="180"/>
      <c r="K64" s="91"/>
    </row>
    <row r="65" spans="1:11" ht="12.75">
      <c r="A65" s="103" t="s">
        <v>53</v>
      </c>
      <c r="B65" s="95"/>
      <c r="C65" s="91"/>
      <c r="D65" s="95"/>
      <c r="E65" s="95"/>
      <c r="F65" s="95"/>
      <c r="G65" s="95"/>
      <c r="J65" s="180"/>
      <c r="K65" s="91"/>
    </row>
    <row r="66" spans="1:11" ht="12.75">
      <c r="A66" s="101" t="s">
        <v>37</v>
      </c>
      <c r="B66" s="95"/>
      <c r="C66" s="91"/>
      <c r="D66" s="102">
        <v>180.12</v>
      </c>
      <c r="E66" s="102">
        <v>175.14</v>
      </c>
      <c r="F66" s="102">
        <v>197.7</v>
      </c>
      <c r="G66" s="102">
        <v>202.7</v>
      </c>
      <c r="H66" s="238">
        <f>AVERAGE(D66:G66)</f>
        <v>188.91500000000002</v>
      </c>
      <c r="I66" s="115">
        <f>H66*52</f>
        <v>9823.580000000002</v>
      </c>
      <c r="J66" s="180"/>
      <c r="K66" s="91"/>
    </row>
    <row r="67" spans="1:11" ht="12.75">
      <c r="A67" s="101"/>
      <c r="B67" s="95"/>
      <c r="C67" s="91"/>
      <c r="D67" s="102"/>
      <c r="E67" s="102"/>
      <c r="F67" s="102"/>
      <c r="G67" s="102"/>
      <c r="H67" s="236"/>
      <c r="I67" s="237"/>
      <c r="J67" s="180"/>
      <c r="K67" s="91"/>
    </row>
    <row r="68" spans="1:11" ht="12.75">
      <c r="A68" s="239" t="s">
        <v>145</v>
      </c>
      <c r="B68" s="240"/>
      <c r="C68" s="241"/>
      <c r="D68" s="240"/>
      <c r="E68" s="240"/>
      <c r="F68" s="240"/>
      <c r="G68" s="240"/>
      <c r="H68" s="242"/>
      <c r="I68" s="242"/>
      <c r="J68" s="180"/>
      <c r="K68" s="91"/>
    </row>
    <row r="69" spans="1:11" ht="12.75">
      <c r="A69" s="243" t="s">
        <v>37</v>
      </c>
      <c r="B69" s="240"/>
      <c r="C69" s="241"/>
      <c r="D69" s="244">
        <v>199.37212031797503</v>
      </c>
      <c r="E69" s="244">
        <v>207.88178920954243</v>
      </c>
      <c r="F69" s="244">
        <v>216.5925</v>
      </c>
      <c r="G69" s="244">
        <v>218.13173076923078</v>
      </c>
      <c r="H69" s="245">
        <v>210.49453507418704</v>
      </c>
      <c r="I69" s="246">
        <f>H69*52</f>
        <v>10945.715823857727</v>
      </c>
      <c r="J69" s="180"/>
      <c r="K69" s="91"/>
    </row>
    <row r="70" spans="1:11" ht="12.75">
      <c r="A70" s="106"/>
      <c r="B70" s="107"/>
      <c r="C70" s="107"/>
      <c r="D70" s="107"/>
      <c r="E70" s="107"/>
      <c r="F70" s="107"/>
      <c r="G70" s="107"/>
      <c r="H70" s="108"/>
      <c r="I70" s="108"/>
      <c r="J70" s="180"/>
      <c r="K70" s="91"/>
    </row>
    <row r="73" spans="3:5" ht="12.75">
      <c r="C73" s="226" t="s">
        <v>111</v>
      </c>
      <c r="D73" s="226" t="s">
        <v>66</v>
      </c>
      <c r="E73" s="226" t="s">
        <v>67</v>
      </c>
    </row>
    <row r="74" spans="1:5" ht="12.75">
      <c r="A74" s="81" t="s">
        <v>154</v>
      </c>
      <c r="B74" s="80">
        <v>2006</v>
      </c>
      <c r="C74" s="251">
        <f>'[2]2007'!I30</f>
        <v>208.07560860991256</v>
      </c>
      <c r="D74" s="251">
        <f>'[2]2007'!I21</f>
        <v>54.26037765143636</v>
      </c>
      <c r="E74" s="251">
        <f>'[2]2007'!I26</f>
        <v>17.8725</v>
      </c>
    </row>
    <row r="75" spans="2:5" ht="12.75">
      <c r="B75" s="80">
        <v>2007</v>
      </c>
      <c r="C75" s="251">
        <f>'[2]2008'!I30</f>
        <v>220.1548425324935</v>
      </c>
      <c r="D75" s="251">
        <f>'[2]2008'!I21</f>
        <v>58.115345411264414</v>
      </c>
      <c r="E75" s="251">
        <f>'[2]2008'!I26</f>
        <v>18.205</v>
      </c>
    </row>
    <row r="76" spans="1:7" ht="12.75">
      <c r="A76" s="80" t="s">
        <v>65</v>
      </c>
      <c r="B76" s="80">
        <v>2008</v>
      </c>
      <c r="C76" s="251">
        <f>H29</f>
        <v>229.63551406274166</v>
      </c>
      <c r="D76" s="251">
        <f>H20</f>
        <v>60.37847820841712</v>
      </c>
      <c r="E76" s="251">
        <f>H25</f>
        <v>19.2285</v>
      </c>
      <c r="G76" s="80" t="s">
        <v>65</v>
      </c>
    </row>
    <row r="78" spans="1:5" ht="12.75">
      <c r="A78" s="255" t="s">
        <v>157</v>
      </c>
      <c r="C78" s="253">
        <f>(C76-C74)/C74</f>
        <v>0.10361572697955335</v>
      </c>
      <c r="D78" s="253">
        <f>(D76-D74)/D74</f>
        <v>0.11275447797807224</v>
      </c>
      <c r="E78" s="253">
        <f>(E76-E74)/E74</f>
        <v>0.07587075115400765</v>
      </c>
    </row>
    <row r="79" spans="1:5" ht="12.75">
      <c r="A79" s="255" t="s">
        <v>158</v>
      </c>
      <c r="C79" s="253">
        <f>(C76-C75)/C75</f>
        <v>0.0430636520241379</v>
      </c>
      <c r="D79" s="253">
        <f>(D76-D75)/D75</f>
        <v>0.03894208631364423</v>
      </c>
      <c r="E79" s="253">
        <f>(E76-E75)/E75</f>
        <v>0.056220818456468126</v>
      </c>
    </row>
    <row r="80" spans="1:5" ht="12.75">
      <c r="A80" s="255"/>
      <c r="C80" s="253"/>
      <c r="D80" s="253"/>
      <c r="E80" s="253"/>
    </row>
    <row r="82" spans="1:3" ht="12.75">
      <c r="A82" s="81" t="s">
        <v>155</v>
      </c>
      <c r="B82" s="80">
        <v>2006</v>
      </c>
      <c r="C82" s="251">
        <f>'[2]2007'!I43</f>
        <v>212.91346153846152</v>
      </c>
    </row>
    <row r="83" spans="2:3" ht="12.75">
      <c r="B83" s="80">
        <v>2007</v>
      </c>
      <c r="C83" s="251">
        <f>'[2]2008'!I43</f>
        <v>220.06730769230765</v>
      </c>
    </row>
    <row r="84" spans="1:6" ht="12.75">
      <c r="A84" s="255" t="s">
        <v>156</v>
      </c>
      <c r="B84" s="80">
        <v>2008</v>
      </c>
      <c r="C84" s="251">
        <v>234.15</v>
      </c>
      <c r="D84" s="80" t="s">
        <v>65</v>
      </c>
      <c r="F84" s="258">
        <f>C84*52</f>
        <v>12175.800000000001</v>
      </c>
    </row>
    <row r="86" ht="12.75">
      <c r="C86" s="253">
        <f>(C84-C82)/C82</f>
        <v>0.09974258230592073</v>
      </c>
    </row>
    <row r="88" spans="3:4" ht="12.75">
      <c r="C88" s="251">
        <f>C83*1.0394</f>
        <v>228.7379596153846</v>
      </c>
      <c r="D88" s="257">
        <f>C88*52</f>
        <v>11894.373899999999</v>
      </c>
    </row>
    <row r="90" spans="1:5" ht="12.75">
      <c r="A90" s="81" t="s">
        <v>160</v>
      </c>
      <c r="B90" s="80">
        <v>2006</v>
      </c>
      <c r="C90" s="258">
        <v>9827</v>
      </c>
      <c r="D90" s="258">
        <v>7457</v>
      </c>
      <c r="E90" s="258">
        <f>158*15</f>
        <v>2370</v>
      </c>
    </row>
    <row r="91" spans="2:5" ht="12.75">
      <c r="B91" s="80">
        <v>2007</v>
      </c>
      <c r="C91" s="258">
        <v>10952</v>
      </c>
      <c r="D91" s="258">
        <v>7457</v>
      </c>
      <c r="E91" s="258">
        <f>233*15</f>
        <v>3495</v>
      </c>
    </row>
    <row r="92" spans="1:5" ht="12.75">
      <c r="A92" s="255" t="s">
        <v>65</v>
      </c>
      <c r="B92" s="80">
        <v>2008</v>
      </c>
      <c r="C92" s="258">
        <v>10952</v>
      </c>
      <c r="D92" s="258">
        <v>7457</v>
      </c>
      <c r="E92" s="258">
        <f>233*15</f>
        <v>3495</v>
      </c>
    </row>
    <row r="93" spans="2:5" ht="12.75">
      <c r="B93" s="80">
        <v>2009</v>
      </c>
      <c r="D93" s="258">
        <v>7457</v>
      </c>
      <c r="E93" s="258">
        <f>233*15</f>
        <v>3495</v>
      </c>
    </row>
    <row r="95" spans="3:5" ht="12.75">
      <c r="C95" s="253">
        <f>(C92-C90)/C90</f>
        <v>0.11448051287269767</v>
      </c>
      <c r="D95" s="253">
        <f>(D92-D90)/D90</f>
        <v>0</v>
      </c>
      <c r="E95" s="253">
        <f>(E92-E90)/E90</f>
        <v>0.47468354430379744</v>
      </c>
    </row>
    <row r="96" spans="3:5" ht="12.75">
      <c r="C96" s="253">
        <f>(C92-C91)/C91</f>
        <v>0</v>
      </c>
      <c r="D96" s="253">
        <f>(D92-D91)/D91</f>
        <v>0</v>
      </c>
      <c r="E96" s="253">
        <f>(E92-E91)/E91</f>
        <v>0</v>
      </c>
    </row>
    <row r="99" spans="3:6" ht="33.75">
      <c r="C99" s="248" t="s">
        <v>150</v>
      </c>
      <c r="D99" s="248" t="s">
        <v>147</v>
      </c>
      <c r="E99" s="248" t="s">
        <v>148</v>
      </c>
      <c r="F99" s="248" t="s">
        <v>149</v>
      </c>
    </row>
    <row r="101" spans="2:6" ht="12.75">
      <c r="B101" s="81" t="s">
        <v>162</v>
      </c>
      <c r="D101" s="258">
        <v>232.88</v>
      </c>
      <c r="E101" s="258">
        <v>246.23</v>
      </c>
      <c r="F101" s="258">
        <v>243.95</v>
      </c>
    </row>
    <row r="102" spans="4:6" ht="12.75">
      <c r="D102" s="258"/>
      <c r="E102" s="258"/>
      <c r="F102" s="258"/>
    </row>
    <row r="103" spans="4:6" ht="12.75">
      <c r="D103" s="258">
        <v>12109.72</v>
      </c>
      <c r="E103" s="258">
        <v>12804.21</v>
      </c>
      <c r="F103" s="258">
        <v>12685.22</v>
      </c>
    </row>
  </sheetData>
  <sheetProtection/>
  <mergeCells count="1">
    <mergeCell ref="L14:S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80" zoomScaleNormal="80" zoomScalePageLayoutView="0" workbookViewId="0" topLeftCell="B1">
      <selection activeCell="N40" sqref="N40"/>
    </sheetView>
  </sheetViews>
  <sheetFormatPr defaultColWidth="9.140625" defaultRowHeight="12.75"/>
  <cols>
    <col min="1" max="1" width="44.00390625" style="80" customWidth="1"/>
    <col min="2" max="4" width="9.140625" style="80" customWidth="1"/>
    <col min="5" max="5" width="11.00390625" style="80" customWidth="1"/>
    <col min="6" max="6" width="12.8515625" style="80" bestFit="1" customWidth="1"/>
    <col min="7" max="7" width="12.28125" style="80" customWidth="1"/>
    <col min="8" max="9" width="12.8515625" style="80" bestFit="1" customWidth="1"/>
    <col min="10" max="10" width="14.8515625" style="80" customWidth="1"/>
    <col min="11" max="11" width="12.57421875" style="80" customWidth="1"/>
    <col min="12" max="12" width="11.28125" style="80" customWidth="1"/>
    <col min="13" max="13" width="10.57421875" style="80" bestFit="1" customWidth="1"/>
    <col min="14" max="14" width="13.57421875" style="80" customWidth="1"/>
    <col min="15" max="15" width="9.140625" style="80" customWidth="1"/>
    <col min="16" max="16" width="9.8515625" style="80" bestFit="1" customWidth="1"/>
    <col min="17" max="17" width="11.421875" style="80" customWidth="1"/>
    <col min="18" max="18" width="12.7109375" style="80" bestFit="1" customWidth="1"/>
    <col min="19" max="19" width="15.57421875" style="80" customWidth="1"/>
    <col min="20" max="20" width="2.7109375" style="80" customWidth="1"/>
    <col min="21" max="16384" width="9.140625" style="80" customWidth="1"/>
  </cols>
  <sheetData>
    <row r="1" ht="18">
      <c r="A1" s="196" t="s">
        <v>134</v>
      </c>
    </row>
    <row r="3" spans="1:12" ht="18" customHeight="1">
      <c r="A3" s="197" t="s">
        <v>135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80">
        <f>150/52*100</f>
        <v>288.46153846153845</v>
      </c>
    </row>
    <row r="4" spans="1:11" ht="12.7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ht="15" customHeight="1">
      <c r="A5" s="186" t="s">
        <v>63</v>
      </c>
      <c r="B5" s="186"/>
      <c r="C5" s="186"/>
      <c r="D5" s="186"/>
      <c r="E5" s="186"/>
      <c r="F5" s="186"/>
      <c r="G5" s="186"/>
      <c r="H5" s="186"/>
      <c r="I5" s="186"/>
      <c r="J5" s="186"/>
      <c r="K5" s="226" t="s">
        <v>109</v>
      </c>
      <c r="L5" s="226" t="s">
        <v>106</v>
      </c>
    </row>
    <row r="6" spans="1:11" ht="15.75" customHeight="1">
      <c r="A6" s="187" t="s">
        <v>87</v>
      </c>
      <c r="B6" s="186"/>
      <c r="C6" s="186"/>
      <c r="D6" s="186"/>
      <c r="E6" s="186"/>
      <c r="F6" s="186"/>
      <c r="G6" s="186"/>
      <c r="H6" s="186"/>
      <c r="I6" s="186"/>
      <c r="J6" s="186"/>
      <c r="K6" s="231" t="s">
        <v>65</v>
      </c>
    </row>
    <row r="7" spans="1:12" ht="15" customHeight="1">
      <c r="A7" s="186"/>
      <c r="B7" s="186"/>
      <c r="C7" s="186"/>
      <c r="D7" s="186"/>
      <c r="E7" s="186"/>
      <c r="F7" s="186"/>
      <c r="G7" s="186"/>
      <c r="H7" s="186"/>
      <c r="I7" s="227" t="s">
        <v>107</v>
      </c>
      <c r="J7" s="186"/>
      <c r="K7" s="228">
        <f>I21*15000/100</f>
        <v>8717.301811689662</v>
      </c>
      <c r="L7" s="228">
        <f>O18</f>
        <v>7457</v>
      </c>
    </row>
    <row r="8" spans="1:12" ht="15.75" customHeight="1">
      <c r="A8" s="188" t="s">
        <v>62</v>
      </c>
      <c r="B8" s="186"/>
      <c r="C8" s="186"/>
      <c r="D8" s="186"/>
      <c r="E8" s="186"/>
      <c r="F8" s="186"/>
      <c r="G8" s="186"/>
      <c r="H8" s="186"/>
      <c r="I8" s="227" t="s">
        <v>108</v>
      </c>
      <c r="J8" s="186"/>
      <c r="K8" s="229">
        <f>I26*15000/100</f>
        <v>2730.75</v>
      </c>
      <c r="L8" s="229">
        <f>P18*15</f>
        <v>3495</v>
      </c>
    </row>
    <row r="9" spans="1:12" ht="15" customHeight="1">
      <c r="A9" s="186" t="s">
        <v>59</v>
      </c>
      <c r="B9" s="186"/>
      <c r="C9" s="186"/>
      <c r="D9" s="186"/>
      <c r="E9" s="186"/>
      <c r="F9" s="189" t="s">
        <v>65</v>
      </c>
      <c r="G9" s="186"/>
      <c r="H9" s="186"/>
      <c r="I9" s="186"/>
      <c r="J9" s="186"/>
      <c r="K9" s="230">
        <f>SUM(K7:K8)</f>
        <v>11448.051811689662</v>
      </c>
      <c r="L9" s="230">
        <f>SUM(L7:L8)</f>
        <v>10952</v>
      </c>
    </row>
    <row r="10" spans="1:11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</row>
    <row r="12" ht="13.5" thickBot="1"/>
    <row r="13" spans="1:23" ht="12.7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20"/>
      <c r="M13" s="151"/>
      <c r="N13" s="152"/>
      <c r="O13" s="152"/>
      <c r="P13" s="152"/>
      <c r="Q13" s="153"/>
      <c r="R13" s="153"/>
      <c r="S13" s="153"/>
      <c r="T13" s="154"/>
      <c r="U13" s="114"/>
      <c r="V13" s="110"/>
      <c r="W13" s="110"/>
    </row>
    <row r="14" spans="1:23" ht="15">
      <c r="A14" s="198" t="s">
        <v>71</v>
      </c>
      <c r="B14" s="91"/>
      <c r="C14" s="91"/>
      <c r="D14" s="91"/>
      <c r="E14" s="82"/>
      <c r="F14" s="83"/>
      <c r="G14" s="181" t="s">
        <v>136</v>
      </c>
      <c r="H14" s="84"/>
      <c r="I14" s="85"/>
      <c r="J14" s="232"/>
      <c r="K14" s="122"/>
      <c r="M14" s="283" t="s">
        <v>76</v>
      </c>
      <c r="N14" s="284"/>
      <c r="O14" s="284"/>
      <c r="P14" s="284"/>
      <c r="Q14" s="284"/>
      <c r="R14" s="284"/>
      <c r="S14" s="284"/>
      <c r="T14" s="285"/>
      <c r="U14" s="114"/>
      <c r="V14" s="112"/>
      <c r="W14" s="113"/>
    </row>
    <row r="15" spans="1:23" ht="12.75">
      <c r="A15" s="123"/>
      <c r="B15" s="91"/>
      <c r="C15" s="91"/>
      <c r="D15" s="91"/>
      <c r="E15" s="86" t="s">
        <v>56</v>
      </c>
      <c r="F15" s="86" t="s">
        <v>11</v>
      </c>
      <c r="G15" s="86" t="s">
        <v>5</v>
      </c>
      <c r="H15" s="86" t="s">
        <v>14</v>
      </c>
      <c r="I15" s="86">
        <v>2007</v>
      </c>
      <c r="J15" s="86">
        <v>2006</v>
      </c>
      <c r="K15" s="122"/>
      <c r="M15" s="155"/>
      <c r="N15" s="156"/>
      <c r="O15" s="164"/>
      <c r="P15" s="165"/>
      <c r="Q15" s="157"/>
      <c r="R15" s="157"/>
      <c r="S15" s="157"/>
      <c r="T15" s="158"/>
      <c r="U15" s="114"/>
      <c r="V15" s="113"/>
      <c r="W15" s="113"/>
    </row>
    <row r="16" spans="1:23" ht="12.75">
      <c r="A16" s="123"/>
      <c r="B16" s="91"/>
      <c r="C16" s="91"/>
      <c r="D16" s="91"/>
      <c r="E16" s="88">
        <v>380</v>
      </c>
      <c r="F16" s="88" t="s">
        <v>110</v>
      </c>
      <c r="G16" s="88" t="s">
        <v>13</v>
      </c>
      <c r="H16" s="88" t="s">
        <v>15</v>
      </c>
      <c r="I16" s="89" t="s">
        <v>17</v>
      </c>
      <c r="J16" s="89" t="s">
        <v>17</v>
      </c>
      <c r="K16" s="122"/>
      <c r="L16" s="87"/>
      <c r="M16" s="159"/>
      <c r="N16" s="156"/>
      <c r="O16" s="166"/>
      <c r="P16" s="165" t="s">
        <v>67</v>
      </c>
      <c r="Q16" s="165" t="s">
        <v>68</v>
      </c>
      <c r="R16" s="165"/>
      <c r="S16" s="165" t="s">
        <v>102</v>
      </c>
      <c r="T16" s="158"/>
      <c r="U16" s="114"/>
      <c r="V16" s="113"/>
      <c r="W16" s="113"/>
    </row>
    <row r="17" spans="1:23" ht="12.75">
      <c r="A17" s="121" t="s">
        <v>72</v>
      </c>
      <c r="B17" s="91"/>
      <c r="C17" s="91"/>
      <c r="D17" s="91"/>
      <c r="E17" s="90"/>
      <c r="F17" s="90"/>
      <c r="G17" s="90"/>
      <c r="H17" s="90"/>
      <c r="I17" s="90"/>
      <c r="J17" s="90"/>
      <c r="K17" s="124"/>
      <c r="L17" s="91"/>
      <c r="M17" s="204" t="s">
        <v>103</v>
      </c>
      <c r="N17" s="156"/>
      <c r="O17" s="165" t="s">
        <v>66</v>
      </c>
      <c r="P17" s="165" t="s">
        <v>70</v>
      </c>
      <c r="Q17" s="165" t="s">
        <v>69</v>
      </c>
      <c r="R17" s="165"/>
      <c r="S17" s="165" t="s">
        <v>101</v>
      </c>
      <c r="T17" s="158"/>
      <c r="U17" s="114"/>
      <c r="V17" s="114"/>
      <c r="W17" s="114"/>
    </row>
    <row r="18" spans="1:23" ht="15">
      <c r="A18" s="123" t="s">
        <v>64</v>
      </c>
      <c r="B18" s="91" t="s">
        <v>111</v>
      </c>
      <c r="C18" s="91"/>
      <c r="D18" s="91"/>
      <c r="E18" s="131">
        <f>148.86/288.46*100</f>
        <v>51.605075227067886</v>
      </c>
      <c r="F18" s="131">
        <f>165.73/288.46*100</f>
        <v>57.453373084656455</v>
      </c>
      <c r="G18" s="131">
        <f>179.46/L3*100</f>
        <v>62.2128</v>
      </c>
      <c r="H18" s="131">
        <f>176.51/L3*100</f>
        <v>61.19013333333333</v>
      </c>
      <c r="I18" s="92">
        <f>AVERAGE(E18:H18)</f>
        <v>58.115345411264414</v>
      </c>
      <c r="J18" s="92">
        <v>54.26</v>
      </c>
      <c r="K18" s="124"/>
      <c r="M18" s="155"/>
      <c r="N18" s="160">
        <v>2008</v>
      </c>
      <c r="O18" s="171">
        <v>7457</v>
      </c>
      <c r="P18" s="167">
        <v>233</v>
      </c>
      <c r="Q18" s="169">
        <v>0.75</v>
      </c>
      <c r="R18" s="206"/>
      <c r="S18" s="220">
        <f>O18+P18*15</f>
        <v>10952</v>
      </c>
      <c r="T18" s="158"/>
      <c r="U18" s="114"/>
      <c r="V18" s="114"/>
      <c r="W18" s="114"/>
    </row>
    <row r="19" spans="1:23" ht="15" thickBot="1">
      <c r="A19" s="123"/>
      <c r="B19" s="91"/>
      <c r="C19" s="91"/>
      <c r="D19" s="91"/>
      <c r="E19" s="131"/>
      <c r="F19" s="131"/>
      <c r="G19" s="131"/>
      <c r="H19" s="131"/>
      <c r="I19" s="92"/>
      <c r="J19" s="92"/>
      <c r="K19" s="124"/>
      <c r="M19" s="161"/>
      <c r="N19" s="182"/>
      <c r="O19" s="162"/>
      <c r="P19" s="162"/>
      <c r="Q19" s="162"/>
      <c r="R19" s="162"/>
      <c r="S19" s="221" t="s">
        <v>104</v>
      </c>
      <c r="T19" s="163"/>
      <c r="U19" s="114"/>
      <c r="V19" s="114"/>
      <c r="W19" s="114"/>
    </row>
    <row r="20" spans="1:23" ht="14.25">
      <c r="A20" s="123"/>
      <c r="B20" s="91"/>
      <c r="C20" s="91"/>
      <c r="D20" s="91"/>
      <c r="E20" s="131"/>
      <c r="F20" s="131"/>
      <c r="G20" s="131"/>
      <c r="H20" s="131"/>
      <c r="I20" s="92"/>
      <c r="J20" s="92"/>
      <c r="K20" s="124"/>
      <c r="M20" s="183" t="s">
        <v>86</v>
      </c>
      <c r="N20" s="146"/>
      <c r="O20" s="139"/>
      <c r="P20" s="139"/>
      <c r="Q20" s="139"/>
      <c r="R20" s="139"/>
      <c r="S20" s="222"/>
      <c r="T20" s="140"/>
      <c r="U20" s="114"/>
      <c r="V20" s="114"/>
      <c r="W20" s="114"/>
    </row>
    <row r="21" spans="1:23" ht="15">
      <c r="A21" s="123"/>
      <c r="B21" s="91"/>
      <c r="C21" s="91"/>
      <c r="D21" s="91"/>
      <c r="E21" s="131"/>
      <c r="F21" s="132"/>
      <c r="G21" s="131"/>
      <c r="H21" s="131"/>
      <c r="I21" s="172">
        <f>SUM(I18:I20)</f>
        <v>58.115345411264414</v>
      </c>
      <c r="J21" s="177">
        <v>54.26037765143636</v>
      </c>
      <c r="K21" s="124"/>
      <c r="M21" s="147" t="s">
        <v>65</v>
      </c>
      <c r="N21" s="143">
        <v>2007</v>
      </c>
      <c r="O21" s="144">
        <v>7457</v>
      </c>
      <c r="P21" s="144">
        <v>233</v>
      </c>
      <c r="Q21" s="145">
        <v>0.75</v>
      </c>
      <c r="R21" s="205"/>
      <c r="S21" s="223">
        <f>O21+P21*15</f>
        <v>10952</v>
      </c>
      <c r="T21" s="140"/>
      <c r="U21" s="114"/>
      <c r="V21" s="115"/>
      <c r="W21" s="114"/>
    </row>
    <row r="22" spans="1:23" ht="14.25">
      <c r="A22" s="121" t="s">
        <v>7</v>
      </c>
      <c r="B22" s="91"/>
      <c r="C22" s="91"/>
      <c r="D22" s="91"/>
      <c r="E22" s="131"/>
      <c r="F22" s="131"/>
      <c r="G22" s="131"/>
      <c r="H22" s="131"/>
      <c r="I22" s="92"/>
      <c r="J22" s="92"/>
      <c r="K22" s="124"/>
      <c r="M22" s="138"/>
      <c r="N22" s="146"/>
      <c r="O22" s="142"/>
      <c r="P22" s="142"/>
      <c r="Q22" s="142"/>
      <c r="R22" s="142"/>
      <c r="S22" s="224"/>
      <c r="T22" s="140"/>
      <c r="U22" s="114"/>
      <c r="V22" s="114"/>
      <c r="W22" s="114"/>
    </row>
    <row r="23" spans="1:23" ht="14.25">
      <c r="A23" s="123"/>
      <c r="B23" s="91" t="s">
        <v>111</v>
      </c>
      <c r="C23" s="91"/>
      <c r="D23" s="91"/>
      <c r="E23" s="131">
        <v>17.88</v>
      </c>
      <c r="F23" s="131">
        <v>17.99</v>
      </c>
      <c r="G23" s="131">
        <v>18.71</v>
      </c>
      <c r="H23" s="131">
        <v>18.24</v>
      </c>
      <c r="I23" s="92">
        <f>AVERAGE(E23:H23)</f>
        <v>18.205</v>
      </c>
      <c r="J23" s="92">
        <v>17.87</v>
      </c>
      <c r="K23" s="124"/>
      <c r="M23" s="138"/>
      <c r="N23" s="146"/>
      <c r="O23" s="142"/>
      <c r="P23" s="142"/>
      <c r="Q23" s="142"/>
      <c r="R23" s="142"/>
      <c r="S23" s="224"/>
      <c r="T23" s="140"/>
      <c r="U23" s="114"/>
      <c r="V23" s="114"/>
      <c r="W23" s="114"/>
    </row>
    <row r="24" spans="1:23" ht="15">
      <c r="A24" s="123"/>
      <c r="B24" s="91"/>
      <c r="C24" s="91"/>
      <c r="D24" s="91"/>
      <c r="E24" s="131"/>
      <c r="F24" s="131"/>
      <c r="G24" s="131"/>
      <c r="H24" s="131"/>
      <c r="I24" s="92"/>
      <c r="J24" s="92"/>
      <c r="K24" s="124"/>
      <c r="M24" s="138"/>
      <c r="N24" s="143">
        <v>2006</v>
      </c>
      <c r="O24" s="144">
        <v>7457</v>
      </c>
      <c r="P24" s="144">
        <v>158</v>
      </c>
      <c r="Q24" s="145">
        <v>0.65</v>
      </c>
      <c r="R24" s="205"/>
      <c r="S24" s="223">
        <f>O24+P24*15</f>
        <v>9827</v>
      </c>
      <c r="T24" s="140"/>
      <c r="V24" s="114"/>
      <c r="W24" s="114"/>
    </row>
    <row r="25" spans="1:23" ht="14.25">
      <c r="A25" s="123"/>
      <c r="B25" s="91"/>
      <c r="C25" s="91"/>
      <c r="D25" s="91"/>
      <c r="E25" s="131"/>
      <c r="F25" s="131"/>
      <c r="G25" s="131"/>
      <c r="H25" s="131"/>
      <c r="I25" s="92"/>
      <c r="J25" s="92"/>
      <c r="K25" s="124"/>
      <c r="M25" s="138"/>
      <c r="N25" s="146"/>
      <c r="O25" s="142"/>
      <c r="P25" s="142"/>
      <c r="Q25" s="142"/>
      <c r="R25" s="142"/>
      <c r="S25" s="224"/>
      <c r="T25" s="140"/>
      <c r="V25" s="114"/>
      <c r="W25" s="114"/>
    </row>
    <row r="26" spans="1:23" ht="14.25">
      <c r="A26" s="123"/>
      <c r="B26" s="91"/>
      <c r="C26" s="91"/>
      <c r="D26" s="91"/>
      <c r="E26" s="93"/>
      <c r="F26" s="93"/>
      <c r="G26" s="93"/>
      <c r="H26" s="93"/>
      <c r="I26" s="168">
        <f>SUM(I23:I25)</f>
        <v>18.205</v>
      </c>
      <c r="J26" s="177">
        <v>17.8725</v>
      </c>
      <c r="K26" s="124"/>
      <c r="M26" s="138"/>
      <c r="N26" s="146"/>
      <c r="O26" s="142"/>
      <c r="P26" s="142"/>
      <c r="Q26" s="142"/>
      <c r="R26" s="142"/>
      <c r="S26" s="224"/>
      <c r="T26" s="140"/>
      <c r="U26" s="114"/>
      <c r="V26" s="115"/>
      <c r="W26" s="117"/>
    </row>
    <row r="27" spans="1:21" ht="15">
      <c r="A27" s="123"/>
      <c r="B27" s="91"/>
      <c r="C27" s="91"/>
      <c r="D27" s="91"/>
      <c r="E27" s="91"/>
      <c r="F27" s="91"/>
      <c r="G27" s="91"/>
      <c r="H27" s="91"/>
      <c r="I27" s="91"/>
      <c r="J27" s="91"/>
      <c r="K27" s="124"/>
      <c r="M27" s="138"/>
      <c r="N27" s="143">
        <v>2005</v>
      </c>
      <c r="O27" s="144">
        <v>7457</v>
      </c>
      <c r="P27" s="144">
        <v>145</v>
      </c>
      <c r="Q27" s="145">
        <v>0.65</v>
      </c>
      <c r="R27" s="205"/>
      <c r="S27" s="223">
        <f>O27+P27*15</f>
        <v>9632</v>
      </c>
      <c r="T27" s="140"/>
      <c r="U27" s="114"/>
    </row>
    <row r="28" spans="1:21" ht="14.25">
      <c r="A28" s="121" t="s">
        <v>112</v>
      </c>
      <c r="B28" s="95"/>
      <c r="C28" s="95"/>
      <c r="D28" s="95"/>
      <c r="E28" s="125">
        <f>SUM(E18:E25)</f>
        <v>69.48507522706788</v>
      </c>
      <c r="F28" s="125">
        <f>SUM(F18:F25)</f>
        <v>75.44337308465646</v>
      </c>
      <c r="G28" s="125">
        <f>SUM(G18:G25)</f>
        <v>80.9228</v>
      </c>
      <c r="H28" s="125">
        <f>SUM(H18:H25)</f>
        <v>79.43013333333333</v>
      </c>
      <c r="I28" s="126">
        <f>SUM(I21:I25)</f>
        <v>76.32034541126441</v>
      </c>
      <c r="J28" s="192">
        <v>72.13287765143636</v>
      </c>
      <c r="K28" s="124"/>
      <c r="M28" s="138"/>
      <c r="N28" s="146"/>
      <c r="O28" s="142"/>
      <c r="P28" s="142"/>
      <c r="Q28" s="142"/>
      <c r="R28" s="142"/>
      <c r="S28" s="224"/>
      <c r="T28" s="140"/>
      <c r="U28" s="114"/>
    </row>
    <row r="29" spans="1:20" ht="14.25">
      <c r="A29" s="121"/>
      <c r="B29" s="95"/>
      <c r="C29" s="95"/>
      <c r="D29" s="95"/>
      <c r="E29" s="125"/>
      <c r="F29" s="125"/>
      <c r="G29" s="125"/>
      <c r="H29" s="125"/>
      <c r="I29" s="134"/>
      <c r="J29" s="134"/>
      <c r="K29" s="124"/>
      <c r="L29" s="111"/>
      <c r="M29" s="147" t="s">
        <v>65</v>
      </c>
      <c r="N29" s="146"/>
      <c r="O29" s="142"/>
      <c r="P29" s="142"/>
      <c r="Q29" s="142"/>
      <c r="R29" s="142"/>
      <c r="S29" s="224"/>
      <c r="T29" s="140"/>
    </row>
    <row r="30" spans="1:20" ht="15">
      <c r="A30" s="130" t="s">
        <v>113</v>
      </c>
      <c r="B30" s="135"/>
      <c r="C30" s="135"/>
      <c r="D30" s="135"/>
      <c r="E30" s="136">
        <f>E28*(15000/52)/100</f>
        <v>200.43771700115732</v>
      </c>
      <c r="F30" s="136">
        <f>F28*(15000/52)/100</f>
        <v>217.62511466727824</v>
      </c>
      <c r="G30" s="136">
        <f>G28*(15000/52)/100</f>
        <v>233.43115384615382</v>
      </c>
      <c r="H30" s="136">
        <f>H28*(15000/52)/100</f>
        <v>229.1253846153846</v>
      </c>
      <c r="I30" s="170">
        <f>I28*(15000/52)/100</f>
        <v>220.1548425324935</v>
      </c>
      <c r="J30" s="193">
        <v>208.07560860991256</v>
      </c>
      <c r="K30" s="124"/>
      <c r="L30" s="111"/>
      <c r="M30" s="138"/>
      <c r="N30" s="143">
        <v>2004</v>
      </c>
      <c r="O30" s="144">
        <v>7457</v>
      </c>
      <c r="P30" s="144">
        <v>145</v>
      </c>
      <c r="Q30" s="145">
        <v>0.65</v>
      </c>
      <c r="R30" s="205"/>
      <c r="S30" s="223">
        <f>O30+P30*15</f>
        <v>9632</v>
      </c>
      <c r="T30" s="140"/>
    </row>
    <row r="31" spans="1:20" ht="15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  <c r="M31" s="138"/>
      <c r="N31" s="146"/>
      <c r="O31" s="142"/>
      <c r="P31" s="142"/>
      <c r="Q31" s="142"/>
      <c r="R31" s="142"/>
      <c r="S31" s="224"/>
      <c r="T31" s="140"/>
    </row>
    <row r="32" spans="13:20" ht="14.25">
      <c r="M32" s="141"/>
      <c r="N32" s="146"/>
      <c r="O32" s="142"/>
      <c r="P32" s="142"/>
      <c r="Q32" s="142"/>
      <c r="R32" s="142"/>
      <c r="S32" s="224"/>
      <c r="T32" s="140"/>
    </row>
    <row r="33" spans="13:20" ht="15.75" thickBot="1">
      <c r="M33" s="141"/>
      <c r="N33" s="143">
        <v>2003</v>
      </c>
      <c r="O33" s="144">
        <v>7457</v>
      </c>
      <c r="P33" s="144">
        <v>145</v>
      </c>
      <c r="Q33" s="145">
        <v>0.65</v>
      </c>
      <c r="R33" s="205"/>
      <c r="S33" s="223">
        <f>O33+P33*15</f>
        <v>9632</v>
      </c>
      <c r="T33" s="140"/>
    </row>
    <row r="34" spans="1:20" ht="13.5" customHeight="1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20"/>
      <c r="M34" s="148"/>
      <c r="N34" s="149"/>
      <c r="O34" s="149"/>
      <c r="P34" s="149"/>
      <c r="Q34" s="149"/>
      <c r="R34" s="149"/>
      <c r="S34" s="149"/>
      <c r="T34" s="150"/>
    </row>
    <row r="35" spans="1:11" ht="15">
      <c r="A35" s="198" t="s">
        <v>73</v>
      </c>
      <c r="B35" s="91"/>
      <c r="C35" s="91"/>
      <c r="D35" s="91"/>
      <c r="E35" s="82"/>
      <c r="F35" s="83"/>
      <c r="G35" s="181" t="s">
        <v>136</v>
      </c>
      <c r="H35" s="84"/>
      <c r="I35" s="85"/>
      <c r="J35" s="85"/>
      <c r="K35" s="122"/>
    </row>
    <row r="36" spans="1:11" ht="13.5" thickBot="1">
      <c r="A36" s="123"/>
      <c r="B36" s="91"/>
      <c r="C36" s="91"/>
      <c r="D36" s="91"/>
      <c r="E36" s="86" t="s">
        <v>56</v>
      </c>
      <c r="F36" s="86" t="s">
        <v>11</v>
      </c>
      <c r="G36" s="86" t="s">
        <v>5</v>
      </c>
      <c r="H36" s="86" t="s">
        <v>14</v>
      </c>
      <c r="I36" s="86">
        <v>2007</v>
      </c>
      <c r="J36" s="86">
        <v>2006</v>
      </c>
      <c r="K36" s="122"/>
    </row>
    <row r="37" spans="1:20" ht="12.75">
      <c r="A37" s="123"/>
      <c r="B37" s="91"/>
      <c r="C37" s="91"/>
      <c r="D37" s="91"/>
      <c r="E37" s="88">
        <v>380</v>
      </c>
      <c r="F37" s="88" t="s">
        <v>110</v>
      </c>
      <c r="G37" s="88" t="s">
        <v>13</v>
      </c>
      <c r="H37" s="88" t="s">
        <v>15</v>
      </c>
      <c r="I37" s="89" t="s">
        <v>17</v>
      </c>
      <c r="J37" s="89" t="s">
        <v>17</v>
      </c>
      <c r="K37" s="122"/>
      <c r="M37" s="151"/>
      <c r="N37" s="152"/>
      <c r="O37" s="152"/>
      <c r="P37" s="152"/>
      <c r="Q37" s="152"/>
      <c r="R37" s="152"/>
      <c r="S37" s="152"/>
      <c r="T37" s="154"/>
    </row>
    <row r="38" spans="1:20" ht="12.75">
      <c r="A38" s="121" t="s">
        <v>65</v>
      </c>
      <c r="B38" s="91"/>
      <c r="C38" s="91"/>
      <c r="D38" s="91"/>
      <c r="E38" s="90"/>
      <c r="F38" s="90"/>
      <c r="G38" s="90"/>
      <c r="H38" s="90"/>
      <c r="I38" s="90"/>
      <c r="J38" s="90"/>
      <c r="K38" s="124"/>
      <c r="M38" s="204" t="s">
        <v>99</v>
      </c>
      <c r="N38" s="156"/>
      <c r="O38" s="156"/>
      <c r="P38" s="156"/>
      <c r="Q38" s="156"/>
      <c r="R38" s="156"/>
      <c r="S38" s="156"/>
      <c r="T38" s="158"/>
    </row>
    <row r="39" spans="1:20" ht="13.5" thickBot="1">
      <c r="A39" s="121" t="s">
        <v>96</v>
      </c>
      <c r="B39" s="91" t="s">
        <v>65</v>
      </c>
      <c r="C39" s="91"/>
      <c r="D39" s="91"/>
      <c r="E39" s="199">
        <v>201.57</v>
      </c>
      <c r="F39" s="199">
        <v>219.08</v>
      </c>
      <c r="G39" s="199">
        <v>231.45</v>
      </c>
      <c r="H39" s="199">
        <v>228.13</v>
      </c>
      <c r="I39" s="200">
        <f>AVERAGE(E39:H39)</f>
        <v>220.05749999999998</v>
      </c>
      <c r="J39" s="201">
        <v>212.92</v>
      </c>
      <c r="K39" s="124"/>
      <c r="M39" s="161"/>
      <c r="N39" s="162"/>
      <c r="O39" s="162"/>
      <c r="P39" s="162"/>
      <c r="Q39" s="162"/>
      <c r="R39" s="162"/>
      <c r="S39" s="162"/>
      <c r="T39" s="163"/>
    </row>
    <row r="40" spans="1:20" ht="12.75">
      <c r="A40" s="123"/>
      <c r="B40" s="91"/>
      <c r="C40" s="91"/>
      <c r="D40" s="91"/>
      <c r="E40" s="91"/>
      <c r="F40" s="91"/>
      <c r="G40" s="91"/>
      <c r="H40" s="91"/>
      <c r="I40" s="91"/>
      <c r="J40" s="91"/>
      <c r="K40" s="124"/>
      <c r="M40" s="207"/>
      <c r="N40" s="208">
        <v>2008</v>
      </c>
      <c r="O40" s="209"/>
      <c r="P40" s="208">
        <v>2007</v>
      </c>
      <c r="Q40" s="209"/>
      <c r="R40" s="210" t="s">
        <v>100</v>
      </c>
      <c r="S40" s="209"/>
      <c r="T40" s="211"/>
    </row>
    <row r="41" spans="1:20" ht="15">
      <c r="A41" s="121" t="s">
        <v>115</v>
      </c>
      <c r="B41" s="95"/>
      <c r="C41" s="95"/>
      <c r="D41" s="95"/>
      <c r="E41" s="125">
        <v>69.88</v>
      </c>
      <c r="F41" s="125">
        <v>75.95</v>
      </c>
      <c r="G41" s="125">
        <v>80.24</v>
      </c>
      <c r="H41" s="125">
        <v>79.09</v>
      </c>
      <c r="I41" s="126">
        <f>AVERAGE(E41:H41)</f>
        <v>76.28999999999999</v>
      </c>
      <c r="J41" s="192">
        <v>73.81</v>
      </c>
      <c r="K41" s="124"/>
      <c r="M41" s="212" t="s">
        <v>66</v>
      </c>
      <c r="N41" s="218">
        <f>O18</f>
        <v>7457</v>
      </c>
      <c r="O41" s="219"/>
      <c r="P41" s="218">
        <f>O21</f>
        <v>7457</v>
      </c>
      <c r="Q41" s="209"/>
      <c r="R41" s="213">
        <f>(N41-P41)/P41</f>
        <v>0</v>
      </c>
      <c r="S41" s="209"/>
      <c r="T41" s="211"/>
    </row>
    <row r="42" spans="1:20" ht="14.25">
      <c r="A42" s="121"/>
      <c r="B42" s="95"/>
      <c r="C42" s="95"/>
      <c r="D42" s="95"/>
      <c r="E42" s="125"/>
      <c r="F42" s="125"/>
      <c r="G42" s="125"/>
      <c r="H42" s="125"/>
      <c r="I42" s="134"/>
      <c r="J42" s="133"/>
      <c r="K42" s="124"/>
      <c r="M42" s="212"/>
      <c r="N42" s="218"/>
      <c r="O42" s="219"/>
      <c r="P42" s="218"/>
      <c r="Q42" s="209"/>
      <c r="R42" s="214"/>
      <c r="S42" s="209"/>
      <c r="T42" s="211"/>
    </row>
    <row r="43" spans="1:20" ht="15">
      <c r="A43" s="130" t="s">
        <v>116</v>
      </c>
      <c r="B43" s="135"/>
      <c r="C43" s="135"/>
      <c r="D43" s="135"/>
      <c r="E43" s="136">
        <f>E41*(15000/52)/100</f>
        <v>201.57692307692304</v>
      </c>
      <c r="F43" s="136">
        <f>F41*(15000/52)/100</f>
        <v>219.08653846153848</v>
      </c>
      <c r="G43" s="136">
        <f>G41*(15000/52)/100</f>
        <v>231.46153846153845</v>
      </c>
      <c r="H43" s="136">
        <f>H41*(15000/52)/100</f>
        <v>228.14423076923077</v>
      </c>
      <c r="I43" s="170">
        <f>I41*(15000/52)/100</f>
        <v>220.06730769230765</v>
      </c>
      <c r="J43" s="193">
        <v>212.91346153846152</v>
      </c>
      <c r="K43" s="124"/>
      <c r="M43" s="212" t="s">
        <v>67</v>
      </c>
      <c r="N43" s="218">
        <f>P18</f>
        <v>233</v>
      </c>
      <c r="O43" s="219"/>
      <c r="P43" s="218">
        <v>233</v>
      </c>
      <c r="Q43" s="209"/>
      <c r="R43" s="213">
        <f>(N43-P43)/P43</f>
        <v>0</v>
      </c>
      <c r="S43" s="209"/>
      <c r="T43" s="211"/>
    </row>
    <row r="44" spans="1:20" ht="15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L44" s="94"/>
      <c r="M44" s="212"/>
      <c r="N44" s="218"/>
      <c r="O44" s="219"/>
      <c r="P44" s="218"/>
      <c r="Q44" s="209"/>
      <c r="R44" s="214"/>
      <c r="S44" s="209"/>
      <c r="T44" s="211"/>
    </row>
    <row r="45" spans="1:20" ht="1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4"/>
      <c r="M45" s="212" t="s">
        <v>68</v>
      </c>
      <c r="N45" s="225">
        <f>Q18</f>
        <v>0.75</v>
      </c>
      <c r="O45" s="219"/>
      <c r="P45" s="225">
        <v>0.75</v>
      </c>
      <c r="Q45" s="209"/>
      <c r="R45" s="213">
        <f>(N45-P45)/P45</f>
        <v>0</v>
      </c>
      <c r="S45" s="209"/>
      <c r="T45" s="211"/>
    </row>
    <row r="46" spans="1:20" ht="13.5" thickBo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4"/>
      <c r="M46" s="215"/>
      <c r="N46" s="216"/>
      <c r="O46" s="216"/>
      <c r="P46" s="216"/>
      <c r="Q46" s="216"/>
      <c r="R46" s="216"/>
      <c r="S46" s="216"/>
      <c r="T46" s="217"/>
    </row>
    <row r="47" spans="1:16" ht="12.7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20"/>
      <c r="L47" s="94"/>
      <c r="P47" s="81"/>
    </row>
    <row r="48" spans="1:12" ht="15">
      <c r="A48" s="130" t="s">
        <v>114</v>
      </c>
      <c r="B48" s="91"/>
      <c r="C48" s="91"/>
      <c r="D48" s="91"/>
      <c r="E48" s="91"/>
      <c r="F48" s="91"/>
      <c r="G48" s="91"/>
      <c r="H48" s="91"/>
      <c r="I48" s="137" t="s">
        <v>117</v>
      </c>
      <c r="J48" s="137" t="s">
        <v>88</v>
      </c>
      <c r="K48" s="124"/>
      <c r="L48" s="94"/>
    </row>
    <row r="49" spans="1:12" ht="12.75">
      <c r="A49" s="123"/>
      <c r="B49" s="91"/>
      <c r="C49" s="91"/>
      <c r="D49" s="91"/>
      <c r="E49" s="91"/>
      <c r="F49" s="91"/>
      <c r="G49" s="91"/>
      <c r="H49" s="91"/>
      <c r="I49" s="91"/>
      <c r="J49" s="91"/>
      <c r="K49" s="124"/>
      <c r="L49" s="94"/>
    </row>
    <row r="50" spans="1:20" ht="12.75">
      <c r="A50" s="121" t="s">
        <v>118</v>
      </c>
      <c r="B50" s="91"/>
      <c r="C50" s="91"/>
      <c r="D50" s="91"/>
      <c r="E50" s="116">
        <f aca="true" t="shared" si="0" ref="E50:J50">(E41+E28)/2/100</f>
        <v>0.6968253761353393</v>
      </c>
      <c r="F50" s="116">
        <f t="shared" si="0"/>
        <v>0.7569668654232822</v>
      </c>
      <c r="G50" s="116">
        <f t="shared" si="0"/>
        <v>0.805814</v>
      </c>
      <c r="H50" s="116">
        <f t="shared" si="0"/>
        <v>0.7926006666666666</v>
      </c>
      <c r="I50" s="233">
        <f t="shared" si="0"/>
        <v>0.7630517270563221</v>
      </c>
      <c r="J50" s="234">
        <f t="shared" si="0"/>
        <v>0.7297143882571818</v>
      </c>
      <c r="K50" s="124"/>
      <c r="M50" s="203" t="s">
        <v>122</v>
      </c>
      <c r="N50" s="203"/>
      <c r="O50" s="203"/>
      <c r="P50" s="203"/>
      <c r="Q50" s="203"/>
      <c r="R50" s="203"/>
      <c r="S50" s="203"/>
      <c r="T50" s="203"/>
    </row>
    <row r="51" spans="1:20" ht="12.75">
      <c r="A51" s="121"/>
      <c r="B51" s="91"/>
      <c r="C51" s="91"/>
      <c r="D51" s="91"/>
      <c r="E51" s="116"/>
      <c r="F51" s="116"/>
      <c r="G51" s="116"/>
      <c r="H51" s="116"/>
      <c r="I51" s="116"/>
      <c r="J51" s="116"/>
      <c r="K51" s="124"/>
      <c r="M51" s="203" t="s">
        <v>121</v>
      </c>
      <c r="N51" s="203"/>
      <c r="O51" s="203"/>
      <c r="P51" s="203"/>
      <c r="Q51" s="203"/>
      <c r="R51" s="203"/>
      <c r="S51" s="203"/>
      <c r="T51" s="203"/>
    </row>
    <row r="52" spans="1:20" ht="12.75">
      <c r="A52" s="121" t="s">
        <v>119</v>
      </c>
      <c r="B52" s="91"/>
      <c r="C52" s="91"/>
      <c r="D52" s="91"/>
      <c r="E52" s="116">
        <f aca="true" t="shared" si="1" ref="E52:J52">(E43+E30)/2</f>
        <v>201.00732003904017</v>
      </c>
      <c r="F52" s="116">
        <f t="shared" si="1"/>
        <v>218.35582656440835</v>
      </c>
      <c r="G52" s="116">
        <f t="shared" si="1"/>
        <v>232.44634615384615</v>
      </c>
      <c r="H52" s="116">
        <f t="shared" si="1"/>
        <v>228.63480769230767</v>
      </c>
      <c r="I52" s="202">
        <f t="shared" si="1"/>
        <v>220.11107511240056</v>
      </c>
      <c r="J52" s="194">
        <f t="shared" si="1"/>
        <v>210.49453507418704</v>
      </c>
      <c r="K52" s="124"/>
      <c r="M52" s="203"/>
      <c r="N52" s="203"/>
      <c r="O52" s="203"/>
      <c r="P52" s="203"/>
      <c r="Q52" s="203"/>
      <c r="R52" s="203"/>
      <c r="S52" s="203"/>
      <c r="T52" s="203"/>
    </row>
    <row r="53" spans="1:20" ht="12.75">
      <c r="A53" s="121"/>
      <c r="B53" s="91"/>
      <c r="C53" s="91"/>
      <c r="D53" s="91"/>
      <c r="E53" s="91"/>
      <c r="F53" s="91"/>
      <c r="G53" s="91"/>
      <c r="H53" s="91"/>
      <c r="I53" s="91"/>
      <c r="J53" s="91"/>
      <c r="K53" s="124"/>
      <c r="M53" s="203" t="s">
        <v>123</v>
      </c>
      <c r="N53" s="203"/>
      <c r="O53" s="203"/>
      <c r="P53" s="203"/>
      <c r="Q53" s="203"/>
      <c r="R53" s="203"/>
      <c r="S53" s="203"/>
      <c r="T53" s="203"/>
    </row>
    <row r="54" spans="1:20" ht="15">
      <c r="A54" s="174" t="s">
        <v>120</v>
      </c>
      <c r="B54" s="175"/>
      <c r="C54" s="175"/>
      <c r="D54" s="175"/>
      <c r="E54" s="176">
        <f aca="true" t="shared" si="2" ref="E54:J54">E52*52</f>
        <v>10452.380642030088</v>
      </c>
      <c r="F54" s="176">
        <f t="shared" si="2"/>
        <v>11354.502981349235</v>
      </c>
      <c r="G54" s="176">
        <f t="shared" si="2"/>
        <v>12087.21</v>
      </c>
      <c r="H54" s="176">
        <f t="shared" si="2"/>
        <v>11889.009999999998</v>
      </c>
      <c r="I54" s="184">
        <f t="shared" si="2"/>
        <v>11445.775905844828</v>
      </c>
      <c r="J54" s="195">
        <f t="shared" si="2"/>
        <v>10945.715823857727</v>
      </c>
      <c r="K54" s="124"/>
      <c r="M54" s="203" t="s">
        <v>124</v>
      </c>
      <c r="N54" s="203"/>
      <c r="O54" s="203"/>
      <c r="P54" s="203"/>
      <c r="Q54" s="203"/>
      <c r="R54" s="203"/>
      <c r="S54" s="203"/>
      <c r="T54" s="203"/>
    </row>
    <row r="55" spans="1:20" ht="13.5" thickBot="1">
      <c r="A55" s="173"/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M55" s="203" t="s">
        <v>125</v>
      </c>
      <c r="N55" s="203"/>
      <c r="O55" s="203"/>
      <c r="P55" s="203"/>
      <c r="Q55" s="203"/>
      <c r="R55" s="203"/>
      <c r="S55" s="203"/>
      <c r="T55" s="203"/>
    </row>
    <row r="56" spans="19:20" ht="12.75">
      <c r="S56" s="203"/>
      <c r="T56" s="203"/>
    </row>
    <row r="57" spans="13:20" ht="12.75">
      <c r="M57" s="203" t="s">
        <v>126</v>
      </c>
      <c r="S57" s="203"/>
      <c r="T57" s="203"/>
    </row>
    <row r="58" spans="13:14" ht="12.75">
      <c r="M58" s="203" t="s">
        <v>127</v>
      </c>
      <c r="N58" s="109"/>
    </row>
    <row r="59" spans="1:14" ht="12.75">
      <c r="A59" s="96"/>
      <c r="B59" s="97"/>
      <c r="C59" s="97"/>
      <c r="D59" s="97"/>
      <c r="E59" s="97"/>
      <c r="F59" s="97"/>
      <c r="G59" s="97"/>
      <c r="H59" s="97"/>
      <c r="I59" s="98"/>
      <c r="J59" s="98"/>
      <c r="K59" s="180"/>
      <c r="L59" s="91"/>
      <c r="M59" s="203" t="s">
        <v>128</v>
      </c>
      <c r="N59" s="91"/>
    </row>
    <row r="60" spans="1:14" ht="12.75">
      <c r="A60" s="103" t="s">
        <v>48</v>
      </c>
      <c r="B60" s="95"/>
      <c r="C60" s="95"/>
      <c r="D60" s="102"/>
      <c r="E60" s="102"/>
      <c r="F60" s="102"/>
      <c r="G60" s="102"/>
      <c r="H60" s="95"/>
      <c r="I60" s="137" t="s">
        <v>84</v>
      </c>
      <c r="J60" s="137" t="s">
        <v>85</v>
      </c>
      <c r="K60" s="180"/>
      <c r="L60" s="91"/>
      <c r="M60" s="203" t="s">
        <v>129</v>
      </c>
      <c r="N60" s="91"/>
    </row>
    <row r="61" spans="1:12" ht="12.75">
      <c r="A61" s="101" t="s">
        <v>37</v>
      </c>
      <c r="B61" s="95"/>
      <c r="C61" s="95"/>
      <c r="D61" s="91"/>
      <c r="E61" s="102">
        <v>178.63</v>
      </c>
      <c r="F61" s="102">
        <v>152.71</v>
      </c>
      <c r="G61" s="102">
        <v>180.78</v>
      </c>
      <c r="H61" s="102">
        <v>183.82</v>
      </c>
      <c r="I61" s="190">
        <f>AVERAGE(E61:H61)</f>
        <v>173.985</v>
      </c>
      <c r="J61" s="100">
        <f>I61*52</f>
        <v>9047.220000000001</v>
      </c>
      <c r="K61" s="180"/>
      <c r="L61" s="91"/>
    </row>
    <row r="62" spans="1:12" ht="12.75">
      <c r="A62" s="101"/>
      <c r="B62" s="95"/>
      <c r="C62" s="95"/>
      <c r="D62" s="91"/>
      <c r="E62" s="95"/>
      <c r="F62" s="95"/>
      <c r="G62" s="95"/>
      <c r="H62" s="95"/>
      <c r="I62" s="91"/>
      <c r="J62" s="91"/>
      <c r="K62" s="180"/>
      <c r="L62" s="91"/>
    </row>
    <row r="63" spans="1:12" ht="12.75">
      <c r="A63" s="103" t="s">
        <v>49</v>
      </c>
      <c r="B63" s="95"/>
      <c r="C63" s="95"/>
      <c r="D63" s="91"/>
      <c r="E63" s="102"/>
      <c r="F63" s="102"/>
      <c r="G63" s="102"/>
      <c r="H63" s="102"/>
      <c r="I63" s="91"/>
      <c r="J63" s="91"/>
      <c r="K63" s="180"/>
      <c r="L63" s="91"/>
    </row>
    <row r="64" spans="1:12" ht="12.75">
      <c r="A64" s="101" t="s">
        <v>37</v>
      </c>
      <c r="B64" s="95"/>
      <c r="C64" s="95"/>
      <c r="D64" s="91"/>
      <c r="E64" s="102">
        <v>184.79</v>
      </c>
      <c r="F64" s="102">
        <v>162.41</v>
      </c>
      <c r="G64" s="102">
        <v>182.19</v>
      </c>
      <c r="H64" s="102">
        <v>180.76</v>
      </c>
      <c r="I64" s="190">
        <f>AVERAGE(E64:H64)</f>
        <v>177.5375</v>
      </c>
      <c r="J64" s="100">
        <f>I64*52</f>
        <v>9231.949999999999</v>
      </c>
      <c r="K64" s="180"/>
      <c r="L64" s="91"/>
    </row>
    <row r="65" spans="1:12" ht="12.75">
      <c r="A65" s="101"/>
      <c r="B65" s="95"/>
      <c r="C65" s="95"/>
      <c r="D65" s="91"/>
      <c r="E65" s="95"/>
      <c r="F65" s="95"/>
      <c r="G65" s="95"/>
      <c r="H65" s="95"/>
      <c r="I65" s="91"/>
      <c r="J65" s="91"/>
      <c r="K65" s="180"/>
      <c r="L65" s="91"/>
    </row>
    <row r="66" spans="1:12" ht="12.75">
      <c r="A66" s="99" t="s">
        <v>53</v>
      </c>
      <c r="B66" s="55"/>
      <c r="C66" s="55"/>
      <c r="D66" s="91"/>
      <c r="E66" s="95"/>
      <c r="F66" s="95"/>
      <c r="G66" s="95"/>
      <c r="H66" s="95"/>
      <c r="K66" s="180"/>
      <c r="L66" s="91"/>
    </row>
    <row r="67" spans="1:12" ht="12.75">
      <c r="A67" s="104" t="s">
        <v>37</v>
      </c>
      <c r="B67" s="55"/>
      <c r="C67" s="55"/>
      <c r="D67" s="91"/>
      <c r="E67" s="105">
        <v>180.12</v>
      </c>
      <c r="F67" s="105">
        <v>175.14</v>
      </c>
      <c r="G67" s="105">
        <v>197.7</v>
      </c>
      <c r="H67" s="105">
        <v>202.7</v>
      </c>
      <c r="I67" s="179">
        <f>AVERAGE(E67:H67)</f>
        <v>188.91500000000002</v>
      </c>
      <c r="J67" s="178">
        <f>I67*52</f>
        <v>9823.580000000002</v>
      </c>
      <c r="K67" s="180"/>
      <c r="L67" s="91"/>
    </row>
    <row r="68" spans="1:12" ht="12.75">
      <c r="A68" s="106"/>
      <c r="B68" s="107"/>
      <c r="C68" s="107"/>
      <c r="D68" s="107"/>
      <c r="E68" s="107"/>
      <c r="F68" s="107"/>
      <c r="G68" s="107"/>
      <c r="H68" s="107"/>
      <c r="I68" s="108"/>
      <c r="J68" s="108"/>
      <c r="K68" s="180"/>
      <c r="L68" s="91"/>
    </row>
  </sheetData>
  <sheetProtection/>
  <mergeCells count="1">
    <mergeCell ref="M14:T14"/>
  </mergeCells>
  <printOptions/>
  <pageMargins left="0.2" right="0.2" top="0.27" bottom="0.2" header="0.19" footer="0.18"/>
  <pageSetup fitToHeight="1" fitToWidth="1" horizontalDpi="600" verticalDpi="600" orientation="landscape" paperSize="9" scale="56" r:id="rId1"/>
  <headerFooter alignWithMargins="0">
    <oddFooter>&amp;L&amp;Z&amp;F  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80" zoomScaleNormal="80" zoomScalePageLayoutView="0" workbookViewId="0" topLeftCell="A19">
      <selection activeCell="E59" sqref="E59"/>
    </sheetView>
  </sheetViews>
  <sheetFormatPr defaultColWidth="9.140625" defaultRowHeight="12.75"/>
  <cols>
    <col min="1" max="1" width="44.00390625" style="80" customWidth="1"/>
    <col min="2" max="4" width="9.140625" style="80" customWidth="1"/>
    <col min="5" max="5" width="11.00390625" style="80" customWidth="1"/>
    <col min="6" max="6" width="12.8515625" style="80" bestFit="1" customWidth="1"/>
    <col min="7" max="7" width="12.28125" style="80" customWidth="1"/>
    <col min="8" max="9" width="12.8515625" style="80" bestFit="1" customWidth="1"/>
    <col min="10" max="10" width="14.8515625" style="80" customWidth="1"/>
    <col min="11" max="11" width="12.57421875" style="80" customWidth="1"/>
    <col min="12" max="12" width="11.28125" style="80" customWidth="1"/>
    <col min="13" max="13" width="10.57421875" style="80" bestFit="1" customWidth="1"/>
    <col min="14" max="14" width="13.57421875" style="80" customWidth="1"/>
    <col min="15" max="15" width="9.140625" style="80" customWidth="1"/>
    <col min="16" max="16" width="9.8515625" style="80" bestFit="1" customWidth="1"/>
    <col min="17" max="17" width="11.421875" style="80" customWidth="1"/>
    <col min="18" max="18" width="12.7109375" style="80" bestFit="1" customWidth="1"/>
    <col min="19" max="19" width="15.57421875" style="80" customWidth="1"/>
    <col min="20" max="20" width="2.7109375" style="80" customWidth="1"/>
    <col min="21" max="16384" width="9.140625" style="80" customWidth="1"/>
  </cols>
  <sheetData>
    <row r="1" ht="18">
      <c r="A1" s="196" t="s">
        <v>90</v>
      </c>
    </row>
    <row r="3" spans="1:12" ht="18" customHeight="1">
      <c r="A3" s="197" t="s">
        <v>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80">
        <f>150/52*100</f>
        <v>288.46153846153845</v>
      </c>
    </row>
    <row r="4" spans="1:11" ht="12.7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ht="15" customHeight="1">
      <c r="A5" s="186" t="s">
        <v>63</v>
      </c>
      <c r="B5" s="186"/>
      <c r="C5" s="186"/>
      <c r="D5" s="186"/>
      <c r="E5" s="186"/>
      <c r="F5" s="186"/>
      <c r="G5" s="186"/>
      <c r="H5" s="186"/>
      <c r="I5" s="186"/>
      <c r="J5" s="186"/>
      <c r="K5" s="226" t="s">
        <v>109</v>
      </c>
      <c r="L5" s="226" t="s">
        <v>106</v>
      </c>
    </row>
    <row r="6" spans="1:11" ht="15.75" customHeight="1">
      <c r="A6" s="187" t="s">
        <v>87</v>
      </c>
      <c r="B6" s="186"/>
      <c r="C6" s="186"/>
      <c r="D6" s="186"/>
      <c r="E6" s="186"/>
      <c r="F6" s="186"/>
      <c r="G6" s="186"/>
      <c r="H6" s="186"/>
      <c r="I6" s="186"/>
      <c r="J6" s="186"/>
      <c r="K6" s="231" t="s">
        <v>65</v>
      </c>
    </row>
    <row r="7" spans="1:12" ht="15" customHeight="1">
      <c r="A7" s="186"/>
      <c r="B7" s="186"/>
      <c r="C7" s="186"/>
      <c r="D7" s="186"/>
      <c r="E7" s="186"/>
      <c r="F7" s="186"/>
      <c r="G7" s="186"/>
      <c r="H7" s="186"/>
      <c r="I7" s="227" t="s">
        <v>107</v>
      </c>
      <c r="J7" s="186"/>
      <c r="K7" s="228">
        <f>I21*15000/100</f>
        <v>8139.056647715453</v>
      </c>
      <c r="L7" s="228">
        <v>7457</v>
      </c>
    </row>
    <row r="8" spans="1:12" ht="15.75" customHeight="1">
      <c r="A8" s="188" t="s">
        <v>62</v>
      </c>
      <c r="B8" s="186"/>
      <c r="C8" s="186"/>
      <c r="D8" s="186"/>
      <c r="E8" s="186"/>
      <c r="F8" s="186"/>
      <c r="G8" s="186"/>
      <c r="H8" s="186"/>
      <c r="I8" s="227" t="s">
        <v>108</v>
      </c>
      <c r="J8" s="186"/>
      <c r="K8" s="229">
        <f>I26*15000/100</f>
        <v>2680.875</v>
      </c>
      <c r="L8" s="229">
        <f>233*15</f>
        <v>3495</v>
      </c>
    </row>
    <row r="9" spans="1:12" ht="15" customHeight="1">
      <c r="A9" s="186" t="s">
        <v>59</v>
      </c>
      <c r="B9" s="186"/>
      <c r="C9" s="186"/>
      <c r="D9" s="186"/>
      <c r="E9" s="186"/>
      <c r="F9" s="189" t="s">
        <v>65</v>
      </c>
      <c r="G9" s="186"/>
      <c r="H9" s="186"/>
      <c r="I9" s="186"/>
      <c r="J9" s="186"/>
      <c r="K9" s="230">
        <f>SUM(K7:K8)</f>
        <v>10819.931647715453</v>
      </c>
      <c r="L9" s="230">
        <f>SUM(L7:L8)</f>
        <v>10952</v>
      </c>
    </row>
    <row r="10" spans="1:11" ht="15" customHeight="1">
      <c r="A10" s="186" t="s">
        <v>60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15" customHeight="1">
      <c r="A11" s="186" t="s">
        <v>61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</row>
    <row r="12" ht="13.5" thickBot="1"/>
    <row r="13" spans="1:23" ht="12.7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20"/>
      <c r="M13" s="151"/>
      <c r="N13" s="152"/>
      <c r="O13" s="152"/>
      <c r="P13" s="152"/>
      <c r="Q13" s="153"/>
      <c r="R13" s="153"/>
      <c r="S13" s="153"/>
      <c r="T13" s="154"/>
      <c r="U13" s="114"/>
      <c r="V13" s="110"/>
      <c r="W13" s="110"/>
    </row>
    <row r="14" spans="1:23" ht="15">
      <c r="A14" s="198" t="s">
        <v>71</v>
      </c>
      <c r="B14" s="91"/>
      <c r="C14" s="91"/>
      <c r="D14" s="91"/>
      <c r="E14" s="82"/>
      <c r="F14" s="83"/>
      <c r="G14" s="181" t="s">
        <v>58</v>
      </c>
      <c r="H14" s="84"/>
      <c r="I14" s="85"/>
      <c r="J14" s="191" t="s">
        <v>83</v>
      </c>
      <c r="K14" s="122"/>
      <c r="M14" s="283" t="s">
        <v>76</v>
      </c>
      <c r="N14" s="284"/>
      <c r="O14" s="284"/>
      <c r="P14" s="284"/>
      <c r="Q14" s="284"/>
      <c r="R14" s="284"/>
      <c r="S14" s="284"/>
      <c r="T14" s="285"/>
      <c r="U14" s="114"/>
      <c r="V14" s="112"/>
      <c r="W14" s="113"/>
    </row>
    <row r="15" spans="1:23" ht="12.75">
      <c r="A15" s="123"/>
      <c r="B15" s="91"/>
      <c r="C15" s="91"/>
      <c r="D15" s="91"/>
      <c r="E15" s="86" t="s">
        <v>56</v>
      </c>
      <c r="F15" s="86" t="s">
        <v>11</v>
      </c>
      <c r="G15" s="86" t="s">
        <v>5</v>
      </c>
      <c r="H15" s="86" t="s">
        <v>14</v>
      </c>
      <c r="I15" s="86">
        <v>2006</v>
      </c>
      <c r="J15" s="86">
        <v>2005</v>
      </c>
      <c r="K15" s="122"/>
      <c r="M15" s="155"/>
      <c r="N15" s="156"/>
      <c r="O15" s="164"/>
      <c r="P15" s="165"/>
      <c r="Q15" s="157"/>
      <c r="R15" s="157"/>
      <c r="S15" s="157"/>
      <c r="T15" s="158"/>
      <c r="U15" s="114"/>
      <c r="V15" s="113"/>
      <c r="W15" s="113"/>
    </row>
    <row r="16" spans="1:23" ht="12.75">
      <c r="A16" s="123"/>
      <c r="B16" s="91"/>
      <c r="C16" s="91"/>
      <c r="D16" s="91"/>
      <c r="E16" s="88" t="s">
        <v>57</v>
      </c>
      <c r="F16" s="88" t="s">
        <v>12</v>
      </c>
      <c r="G16" s="88" t="s">
        <v>13</v>
      </c>
      <c r="H16" s="88" t="s">
        <v>15</v>
      </c>
      <c r="I16" s="89" t="s">
        <v>17</v>
      </c>
      <c r="J16" s="89" t="s">
        <v>17</v>
      </c>
      <c r="K16" s="122"/>
      <c r="L16" s="87"/>
      <c r="M16" s="159"/>
      <c r="N16" s="156"/>
      <c r="O16" s="166"/>
      <c r="P16" s="165" t="s">
        <v>67</v>
      </c>
      <c r="Q16" s="165" t="s">
        <v>68</v>
      </c>
      <c r="R16" s="165"/>
      <c r="S16" s="165" t="s">
        <v>102</v>
      </c>
      <c r="T16" s="158"/>
      <c r="U16" s="114"/>
      <c r="V16" s="113"/>
      <c r="W16" s="113"/>
    </row>
    <row r="17" spans="1:23" ht="12.75">
      <c r="A17" s="121" t="s">
        <v>72</v>
      </c>
      <c r="B17" s="91"/>
      <c r="C17" s="91"/>
      <c r="D17" s="91"/>
      <c r="E17" s="90"/>
      <c r="F17" s="90"/>
      <c r="G17" s="90"/>
      <c r="H17" s="90"/>
      <c r="I17" s="90"/>
      <c r="J17" s="90"/>
      <c r="K17" s="124"/>
      <c r="L17" s="91"/>
      <c r="M17" s="204" t="s">
        <v>103</v>
      </c>
      <c r="N17" s="156"/>
      <c r="O17" s="165" t="s">
        <v>66</v>
      </c>
      <c r="P17" s="165" t="s">
        <v>70</v>
      </c>
      <c r="Q17" s="165" t="s">
        <v>69</v>
      </c>
      <c r="R17" s="165"/>
      <c r="S17" s="165" t="s">
        <v>101</v>
      </c>
      <c r="T17" s="158"/>
      <c r="U17" s="114"/>
      <c r="V17" s="114"/>
      <c r="W17" s="114"/>
    </row>
    <row r="18" spans="1:23" ht="15">
      <c r="A18" s="123" t="s">
        <v>64</v>
      </c>
      <c r="B18" s="91" t="s">
        <v>1</v>
      </c>
      <c r="C18" s="91"/>
      <c r="D18" s="91"/>
      <c r="E18" s="131">
        <f>94.26/288.46*100</f>
        <v>32.676974277196145</v>
      </c>
      <c r="F18" s="131">
        <f>94.03/288.46*100</f>
        <v>32.5972405186161</v>
      </c>
      <c r="G18" s="131">
        <f>106.95/L3*100</f>
        <v>37.076</v>
      </c>
      <c r="H18" s="131">
        <f>108.78/L3*100</f>
        <v>37.7104</v>
      </c>
      <c r="I18" s="92">
        <f>AVERAGE(E18:H18)</f>
        <v>35.01515369895306</v>
      </c>
      <c r="J18" s="92">
        <f>'[1]2006'!I14</f>
        <v>38.2675</v>
      </c>
      <c r="K18" s="124"/>
      <c r="M18" s="155"/>
      <c r="N18" s="160">
        <v>2007</v>
      </c>
      <c r="O18" s="171">
        <v>7457</v>
      </c>
      <c r="P18" s="167">
        <v>233</v>
      </c>
      <c r="Q18" s="169">
        <v>0.75</v>
      </c>
      <c r="R18" s="206"/>
      <c r="S18" s="220">
        <f>O18+P18*15</f>
        <v>10952</v>
      </c>
      <c r="T18" s="158"/>
      <c r="U18" s="114"/>
      <c r="V18" s="114"/>
      <c r="W18" s="114"/>
    </row>
    <row r="19" spans="1:23" ht="15" thickBot="1">
      <c r="A19" s="123"/>
      <c r="B19" s="91" t="s">
        <v>2</v>
      </c>
      <c r="C19" s="91"/>
      <c r="D19" s="91"/>
      <c r="E19" s="131">
        <f>29.44/288.46*100</f>
        <v>10.205921098245858</v>
      </c>
      <c r="F19" s="131">
        <f>32.31/L3*100</f>
        <v>11.200800000000001</v>
      </c>
      <c r="G19" s="131">
        <f>35.61/L3*100</f>
        <v>12.3448</v>
      </c>
      <c r="H19" s="131">
        <f>35.27/L3*100</f>
        <v>12.226933333333335</v>
      </c>
      <c r="I19" s="92">
        <f>AVERAGE(E19:H19)</f>
        <v>11.494613607894799</v>
      </c>
      <c r="J19" s="92">
        <f>'[1]2006'!I15</f>
        <v>6.565</v>
      </c>
      <c r="K19" s="124"/>
      <c r="M19" s="161"/>
      <c r="N19" s="182"/>
      <c r="O19" s="162"/>
      <c r="P19" s="162"/>
      <c r="Q19" s="162"/>
      <c r="R19" s="162"/>
      <c r="S19" s="221" t="s">
        <v>104</v>
      </c>
      <c r="T19" s="163"/>
      <c r="U19" s="114"/>
      <c r="V19" s="114"/>
      <c r="W19" s="114"/>
    </row>
    <row r="20" spans="1:23" ht="14.25">
      <c r="A20" s="123"/>
      <c r="B20" s="91" t="s">
        <v>33</v>
      </c>
      <c r="C20" s="91"/>
      <c r="D20" s="91"/>
      <c r="E20" s="131">
        <f>22.38/288.46*100</f>
        <v>7.758441378354018</v>
      </c>
      <c r="F20" s="131">
        <f>22.25/L3*100</f>
        <v>7.713333333333333</v>
      </c>
      <c r="G20" s="131">
        <f>23.25/L3*100</f>
        <v>8.06</v>
      </c>
      <c r="H20" s="131">
        <f>21.55/L3*100</f>
        <v>7.470666666666667</v>
      </c>
      <c r="I20" s="92">
        <f>AVERAGE(E20:H20)</f>
        <v>7.750610344588504</v>
      </c>
      <c r="J20" s="92">
        <f>'[1]2006'!I16</f>
        <v>7.125</v>
      </c>
      <c r="K20" s="124"/>
      <c r="M20" s="183" t="s">
        <v>86</v>
      </c>
      <c r="N20" s="146"/>
      <c r="O20" s="139"/>
      <c r="P20" s="139"/>
      <c r="Q20" s="139"/>
      <c r="R20" s="139"/>
      <c r="S20" s="222"/>
      <c r="T20" s="140"/>
      <c r="U20" s="114"/>
      <c r="V20" s="114"/>
      <c r="W20" s="114"/>
    </row>
    <row r="21" spans="1:23" ht="15">
      <c r="A21" s="123"/>
      <c r="B21" s="91"/>
      <c r="C21" s="91"/>
      <c r="D21" s="91"/>
      <c r="E21" s="131"/>
      <c r="F21" s="132"/>
      <c r="G21" s="131"/>
      <c r="H21" s="131"/>
      <c r="I21" s="172">
        <f>SUM(I18:I20)</f>
        <v>54.26037765143636</v>
      </c>
      <c r="J21" s="177">
        <f>SUM(J18:J20)</f>
        <v>51.957499999999996</v>
      </c>
      <c r="K21" s="124"/>
      <c r="M21" s="235" t="s">
        <v>65</v>
      </c>
      <c r="N21" s="143">
        <v>2006</v>
      </c>
      <c r="O21" s="144">
        <v>7457</v>
      </c>
      <c r="P21" s="144">
        <v>158</v>
      </c>
      <c r="Q21" s="145">
        <v>0.65</v>
      </c>
      <c r="R21" s="205"/>
      <c r="S21" s="223">
        <f>O21+P21*15</f>
        <v>9827</v>
      </c>
      <c r="T21" s="140"/>
      <c r="U21" s="114"/>
      <c r="V21" s="115"/>
      <c r="W21" s="114"/>
    </row>
    <row r="22" spans="1:23" ht="14.25">
      <c r="A22" s="121" t="s">
        <v>7</v>
      </c>
      <c r="B22" s="91"/>
      <c r="C22" s="91"/>
      <c r="D22" s="91"/>
      <c r="E22" s="131"/>
      <c r="F22" s="131"/>
      <c r="G22" s="131"/>
      <c r="H22" s="131"/>
      <c r="I22" s="92"/>
      <c r="J22" s="92"/>
      <c r="K22" s="124"/>
      <c r="M22" s="138"/>
      <c r="N22" s="146"/>
      <c r="O22" s="142"/>
      <c r="P22" s="142"/>
      <c r="Q22" s="142"/>
      <c r="R22" s="142"/>
      <c r="S22" s="224"/>
      <c r="T22" s="140"/>
      <c r="U22" s="114"/>
      <c r="V22" s="114"/>
      <c r="W22" s="114"/>
    </row>
    <row r="23" spans="1:23" ht="14.25">
      <c r="A23" s="123"/>
      <c r="B23" s="91" t="s">
        <v>8</v>
      </c>
      <c r="C23" s="91"/>
      <c r="D23" s="91"/>
      <c r="E23" s="131">
        <v>12.88</v>
      </c>
      <c r="F23" s="131">
        <v>13.48</v>
      </c>
      <c r="G23" s="131">
        <v>13.12</v>
      </c>
      <c r="H23" s="131">
        <v>13</v>
      </c>
      <c r="I23" s="92">
        <f>AVERAGE(E23:H23)</f>
        <v>13.12</v>
      </c>
      <c r="J23" s="92">
        <f>'[1]2006'!I19</f>
        <v>11.110000000000001</v>
      </c>
      <c r="K23" s="124"/>
      <c r="M23" s="138"/>
      <c r="N23" s="146"/>
      <c r="O23" s="142"/>
      <c r="P23" s="142"/>
      <c r="Q23" s="142"/>
      <c r="R23" s="142"/>
      <c r="S23" s="224"/>
      <c r="T23" s="140"/>
      <c r="U23" s="114"/>
      <c r="V23" s="114"/>
      <c r="W23" s="114"/>
    </row>
    <row r="24" spans="1:23" ht="15">
      <c r="A24" s="123"/>
      <c r="B24" s="91" t="s">
        <v>9</v>
      </c>
      <c r="C24" s="91"/>
      <c r="D24" s="91"/>
      <c r="E24" s="131">
        <v>1.14</v>
      </c>
      <c r="F24" s="131">
        <v>1.52</v>
      </c>
      <c r="G24" s="131">
        <v>0.94</v>
      </c>
      <c r="H24" s="131">
        <v>1.26</v>
      </c>
      <c r="I24" s="92">
        <f>AVERAGE(E24:H24)</f>
        <v>1.215</v>
      </c>
      <c r="J24" s="92">
        <f>'[1]2006'!I20</f>
        <v>1.6675</v>
      </c>
      <c r="K24" s="124"/>
      <c r="M24" s="138"/>
      <c r="N24" s="143">
        <v>2005</v>
      </c>
      <c r="O24" s="144">
        <v>7457</v>
      </c>
      <c r="P24" s="144">
        <v>145</v>
      </c>
      <c r="Q24" s="145">
        <v>0.65</v>
      </c>
      <c r="R24" s="205"/>
      <c r="S24" s="223">
        <f>O24+P24*15</f>
        <v>9632</v>
      </c>
      <c r="T24" s="140"/>
      <c r="U24" s="114"/>
      <c r="V24" s="114"/>
      <c r="W24" s="114"/>
    </row>
    <row r="25" spans="1:23" ht="14.25">
      <c r="A25" s="123"/>
      <c r="B25" s="91" t="s">
        <v>10</v>
      </c>
      <c r="C25" s="91"/>
      <c r="D25" s="91"/>
      <c r="E25" s="131">
        <v>3.27</v>
      </c>
      <c r="F25" s="131">
        <v>3.39</v>
      </c>
      <c r="G25" s="131">
        <v>3.81</v>
      </c>
      <c r="H25" s="131">
        <v>3.68</v>
      </c>
      <c r="I25" s="92">
        <f>AVERAGE(E25:H25)</f>
        <v>3.5375</v>
      </c>
      <c r="J25" s="92">
        <f>'[1]2006'!I21</f>
        <v>2.6025</v>
      </c>
      <c r="K25" s="124"/>
      <c r="M25" s="138"/>
      <c r="N25" s="146"/>
      <c r="O25" s="142"/>
      <c r="P25" s="142"/>
      <c r="Q25" s="142"/>
      <c r="R25" s="142"/>
      <c r="S25" s="224"/>
      <c r="T25" s="140"/>
      <c r="U25" s="114"/>
      <c r="V25" s="114"/>
      <c r="W25" s="114"/>
    </row>
    <row r="26" spans="1:23" ht="14.25">
      <c r="A26" s="123"/>
      <c r="B26" s="91"/>
      <c r="C26" s="91"/>
      <c r="D26" s="91"/>
      <c r="E26" s="93"/>
      <c r="F26" s="93"/>
      <c r="G26" s="93"/>
      <c r="H26" s="93"/>
      <c r="I26" s="168">
        <f>SUM(I23:I25)</f>
        <v>17.8725</v>
      </c>
      <c r="J26" s="177">
        <f>SUM(J23:J25)</f>
        <v>15.380000000000003</v>
      </c>
      <c r="K26" s="124"/>
      <c r="M26" s="235" t="s">
        <v>65</v>
      </c>
      <c r="N26" s="146"/>
      <c r="O26" s="142"/>
      <c r="P26" s="142"/>
      <c r="Q26" s="142"/>
      <c r="R26" s="142"/>
      <c r="S26" s="224"/>
      <c r="T26" s="140"/>
      <c r="U26" s="114"/>
      <c r="V26" s="115"/>
      <c r="W26" s="117"/>
    </row>
    <row r="27" spans="1:20" ht="15">
      <c r="A27" s="123"/>
      <c r="B27" s="91"/>
      <c r="C27" s="91"/>
      <c r="D27" s="91"/>
      <c r="E27" s="91"/>
      <c r="F27" s="91"/>
      <c r="G27" s="91"/>
      <c r="H27" s="91"/>
      <c r="I27" s="91"/>
      <c r="J27" s="91"/>
      <c r="K27" s="124"/>
      <c r="M27" s="138"/>
      <c r="N27" s="143">
        <v>2004</v>
      </c>
      <c r="O27" s="144">
        <v>7457</v>
      </c>
      <c r="P27" s="144">
        <v>145</v>
      </c>
      <c r="Q27" s="145">
        <v>0.65</v>
      </c>
      <c r="R27" s="205"/>
      <c r="S27" s="223">
        <f>O27+P27*15</f>
        <v>9632</v>
      </c>
      <c r="T27" s="140"/>
    </row>
    <row r="28" spans="1:20" ht="14.25">
      <c r="A28" s="121" t="s">
        <v>81</v>
      </c>
      <c r="B28" s="95"/>
      <c r="C28" s="95"/>
      <c r="D28" s="95"/>
      <c r="E28" s="125">
        <f>SUM(E18:E25)</f>
        <v>67.93133675379602</v>
      </c>
      <c r="F28" s="125">
        <f>SUM(F18:F25)</f>
        <v>69.90137385194943</v>
      </c>
      <c r="G28" s="125">
        <f>SUM(G18:G25)</f>
        <v>75.3508</v>
      </c>
      <c r="H28" s="125">
        <f>SUM(H18:H25)</f>
        <v>75.34800000000001</v>
      </c>
      <c r="I28" s="126">
        <f>SUM(I21:I25)</f>
        <v>72.13287765143636</v>
      </c>
      <c r="J28" s="192">
        <f>SUM(J21:J25)</f>
        <v>67.3375</v>
      </c>
      <c r="K28" s="124"/>
      <c r="M28" s="138"/>
      <c r="N28" s="146"/>
      <c r="O28" s="142"/>
      <c r="P28" s="142"/>
      <c r="Q28" s="142"/>
      <c r="R28" s="142"/>
      <c r="S28" s="224"/>
      <c r="T28" s="140"/>
    </row>
    <row r="29" spans="1:20" ht="14.25">
      <c r="A29" s="121"/>
      <c r="B29" s="95"/>
      <c r="C29" s="95"/>
      <c r="D29" s="95"/>
      <c r="E29" s="125"/>
      <c r="F29" s="125"/>
      <c r="G29" s="125"/>
      <c r="H29" s="125"/>
      <c r="I29" s="134"/>
      <c r="J29" s="134"/>
      <c r="K29" s="124"/>
      <c r="L29" s="111"/>
      <c r="M29" s="141"/>
      <c r="N29" s="146"/>
      <c r="O29" s="142"/>
      <c r="P29" s="142"/>
      <c r="Q29" s="142"/>
      <c r="R29" s="142"/>
      <c r="S29" s="224"/>
      <c r="T29" s="140"/>
    </row>
    <row r="30" spans="1:20" ht="15">
      <c r="A30" s="130" t="s">
        <v>75</v>
      </c>
      <c r="B30" s="135"/>
      <c r="C30" s="135"/>
      <c r="D30" s="135"/>
      <c r="E30" s="136">
        <f aca="true" t="shared" si="0" ref="E30:J30">E28*(15000/52)/100</f>
        <v>195.95577909748852</v>
      </c>
      <c r="F30" s="136">
        <f t="shared" si="0"/>
        <v>201.63857841908487</v>
      </c>
      <c r="G30" s="136">
        <f t="shared" si="0"/>
        <v>217.35807692307696</v>
      </c>
      <c r="H30" s="136">
        <f t="shared" si="0"/>
        <v>217.35000000000002</v>
      </c>
      <c r="I30" s="170">
        <f t="shared" si="0"/>
        <v>208.07560860991256</v>
      </c>
      <c r="J30" s="193">
        <f t="shared" si="0"/>
        <v>194.24278846153848</v>
      </c>
      <c r="K30" s="124"/>
      <c r="L30" s="111"/>
      <c r="M30" s="141"/>
      <c r="N30" s="143">
        <v>2003</v>
      </c>
      <c r="O30" s="144">
        <v>7457</v>
      </c>
      <c r="P30" s="144">
        <v>145</v>
      </c>
      <c r="Q30" s="145">
        <v>0.65</v>
      </c>
      <c r="R30" s="205"/>
      <c r="S30" s="223">
        <f>O30+P30*15</f>
        <v>9632</v>
      </c>
      <c r="T30" s="140"/>
    </row>
    <row r="31" spans="1:20" ht="13.5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  <c r="M31" s="148"/>
      <c r="N31" s="149"/>
      <c r="O31" s="149"/>
      <c r="P31" s="149"/>
      <c r="Q31" s="149"/>
      <c r="R31" s="149"/>
      <c r="S31" s="149"/>
      <c r="T31" s="150"/>
    </row>
    <row r="33" ht="13.5" thickBot="1"/>
    <row r="34" spans="1:20" ht="13.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20"/>
      <c r="M34" s="151"/>
      <c r="N34" s="152"/>
      <c r="O34" s="152"/>
      <c r="P34" s="152"/>
      <c r="Q34" s="152"/>
      <c r="R34" s="152"/>
      <c r="S34" s="152"/>
      <c r="T34" s="154"/>
    </row>
    <row r="35" spans="1:20" ht="15">
      <c r="A35" s="198" t="s">
        <v>73</v>
      </c>
      <c r="B35" s="91"/>
      <c r="C35" s="91"/>
      <c r="D35" s="91"/>
      <c r="E35" s="82"/>
      <c r="F35" s="83"/>
      <c r="G35" s="181" t="s">
        <v>91</v>
      </c>
      <c r="H35" s="84"/>
      <c r="I35" s="85"/>
      <c r="J35" s="85"/>
      <c r="K35" s="122"/>
      <c r="M35" s="204" t="s">
        <v>99</v>
      </c>
      <c r="N35" s="156"/>
      <c r="O35" s="156"/>
      <c r="P35" s="156"/>
      <c r="Q35" s="156"/>
      <c r="R35" s="156"/>
      <c r="S35" s="156"/>
      <c r="T35" s="158"/>
    </row>
    <row r="36" spans="1:20" ht="13.5" thickBot="1">
      <c r="A36" s="123"/>
      <c r="B36" s="91"/>
      <c r="C36" s="91"/>
      <c r="D36" s="91"/>
      <c r="E36" s="86" t="s">
        <v>105</v>
      </c>
      <c r="F36" s="86" t="s">
        <v>11</v>
      </c>
      <c r="G36" s="86" t="s">
        <v>5</v>
      </c>
      <c r="H36" s="86" t="s">
        <v>14</v>
      </c>
      <c r="I36" s="86">
        <v>2006</v>
      </c>
      <c r="J36" s="86">
        <v>2005</v>
      </c>
      <c r="K36" s="122"/>
      <c r="M36" s="161"/>
      <c r="N36" s="162"/>
      <c r="O36" s="162"/>
      <c r="P36" s="162"/>
      <c r="Q36" s="162"/>
      <c r="R36" s="162"/>
      <c r="S36" s="162"/>
      <c r="T36" s="163"/>
    </row>
    <row r="37" spans="1:20" ht="12.75">
      <c r="A37" s="123"/>
      <c r="B37" s="91"/>
      <c r="C37" s="91"/>
      <c r="D37" s="91"/>
      <c r="E37" s="88" t="s">
        <v>6</v>
      </c>
      <c r="F37" s="88" t="s">
        <v>12</v>
      </c>
      <c r="G37" s="88" t="s">
        <v>13</v>
      </c>
      <c r="H37" s="88" t="s">
        <v>15</v>
      </c>
      <c r="I37" s="89" t="s">
        <v>17</v>
      </c>
      <c r="J37" s="89" t="s">
        <v>17</v>
      </c>
      <c r="K37" s="122"/>
      <c r="M37" s="207"/>
      <c r="N37" s="208">
        <v>2007</v>
      </c>
      <c r="O37" s="209"/>
      <c r="P37" s="208">
        <v>2006</v>
      </c>
      <c r="Q37" s="209"/>
      <c r="R37" s="210" t="s">
        <v>100</v>
      </c>
      <c r="S37" s="209"/>
      <c r="T37" s="211"/>
    </row>
    <row r="38" spans="1:20" ht="15">
      <c r="A38" s="121" t="s">
        <v>65</v>
      </c>
      <c r="B38" s="91"/>
      <c r="C38" s="91"/>
      <c r="D38" s="91"/>
      <c r="E38" s="90"/>
      <c r="F38" s="90"/>
      <c r="G38" s="90"/>
      <c r="H38" s="90"/>
      <c r="I38" s="90"/>
      <c r="J38" s="90"/>
      <c r="K38" s="124"/>
      <c r="M38" s="212" t="s">
        <v>66</v>
      </c>
      <c r="N38" s="218">
        <f>O18</f>
        <v>7457</v>
      </c>
      <c r="O38" s="219"/>
      <c r="P38" s="218">
        <f>O21</f>
        <v>7457</v>
      </c>
      <c r="Q38" s="209"/>
      <c r="R38" s="213">
        <f>(N38-P38)/P38</f>
        <v>0</v>
      </c>
      <c r="S38" s="209"/>
      <c r="T38" s="211"/>
    </row>
    <row r="39" spans="1:20" ht="14.25">
      <c r="A39" s="121" t="s">
        <v>96</v>
      </c>
      <c r="B39" s="91" t="s">
        <v>65</v>
      </c>
      <c r="C39" s="91"/>
      <c r="D39" s="91"/>
      <c r="E39" s="199">
        <v>202.79</v>
      </c>
      <c r="F39" s="199">
        <v>214.15</v>
      </c>
      <c r="G39" s="199">
        <v>215.82</v>
      </c>
      <c r="H39" s="199">
        <v>218.93</v>
      </c>
      <c r="I39" s="200">
        <f>AVERAGE(E39:H39)</f>
        <v>212.9225</v>
      </c>
      <c r="J39" s="201">
        <v>188.92</v>
      </c>
      <c r="K39" s="124"/>
      <c r="M39" s="212"/>
      <c r="N39" s="218"/>
      <c r="O39" s="219"/>
      <c r="P39" s="218"/>
      <c r="Q39" s="209"/>
      <c r="R39" s="214"/>
      <c r="S39" s="209"/>
      <c r="T39" s="211"/>
    </row>
    <row r="40" spans="1:20" ht="15">
      <c r="A40" s="123"/>
      <c r="B40" s="91"/>
      <c r="C40" s="91"/>
      <c r="D40" s="91"/>
      <c r="E40" s="91"/>
      <c r="F40" s="91"/>
      <c r="G40" s="91"/>
      <c r="H40" s="91"/>
      <c r="I40" s="91"/>
      <c r="J40" s="91"/>
      <c r="K40" s="124"/>
      <c r="M40" s="212" t="s">
        <v>67</v>
      </c>
      <c r="N40" s="218">
        <f>P18</f>
        <v>233</v>
      </c>
      <c r="O40" s="219"/>
      <c r="P40" s="218">
        <f>P21</f>
        <v>158</v>
      </c>
      <c r="Q40" s="209"/>
      <c r="R40" s="213">
        <f>(N40-P40)/P40</f>
        <v>0.47468354430379744</v>
      </c>
      <c r="S40" s="209"/>
      <c r="T40" s="211"/>
    </row>
    <row r="41" spans="1:20" ht="14.25">
      <c r="A41" s="121" t="s">
        <v>80</v>
      </c>
      <c r="B41" s="95"/>
      <c r="C41" s="95"/>
      <c r="D41" s="95"/>
      <c r="E41" s="125">
        <v>70.3</v>
      </c>
      <c r="F41" s="125">
        <v>74.23</v>
      </c>
      <c r="G41" s="125">
        <v>74.82</v>
      </c>
      <c r="H41" s="125">
        <v>75.89</v>
      </c>
      <c r="I41" s="126">
        <f>AVERAGE(E41:H41)</f>
        <v>73.81</v>
      </c>
      <c r="J41" s="192">
        <v>65.4926</v>
      </c>
      <c r="K41" s="124"/>
      <c r="M41" s="212"/>
      <c r="N41" s="218"/>
      <c r="O41" s="219"/>
      <c r="P41" s="218"/>
      <c r="Q41" s="209"/>
      <c r="R41" s="214"/>
      <c r="S41" s="209"/>
      <c r="T41" s="211"/>
    </row>
    <row r="42" spans="1:20" ht="15">
      <c r="A42" s="121"/>
      <c r="B42" s="95"/>
      <c r="C42" s="95"/>
      <c r="D42" s="95"/>
      <c r="E42" s="125"/>
      <c r="F42" s="125"/>
      <c r="G42" s="125"/>
      <c r="H42" s="125"/>
      <c r="I42" s="134"/>
      <c r="J42" s="133"/>
      <c r="K42" s="124"/>
      <c r="M42" s="212" t="s">
        <v>68</v>
      </c>
      <c r="N42" s="225">
        <f>Q18</f>
        <v>0.75</v>
      </c>
      <c r="O42" s="219"/>
      <c r="P42" s="225">
        <f>Q21</f>
        <v>0.65</v>
      </c>
      <c r="Q42" s="209"/>
      <c r="R42" s="213">
        <f>(N42-P42)/P42</f>
        <v>0.1538461538461538</v>
      </c>
      <c r="S42" s="209"/>
      <c r="T42" s="211"/>
    </row>
    <row r="43" spans="1:20" ht="15.75" thickBot="1">
      <c r="A43" s="130" t="s">
        <v>74</v>
      </c>
      <c r="B43" s="135"/>
      <c r="C43" s="135"/>
      <c r="D43" s="135"/>
      <c r="E43" s="136">
        <f>E41*(15000/52)/100</f>
        <v>202.78846153846152</v>
      </c>
      <c r="F43" s="136">
        <f>F41*(15000/52)/100</f>
        <v>214.125</v>
      </c>
      <c r="G43" s="136">
        <f>G41*(15000/52)/100</f>
        <v>215.82692307692304</v>
      </c>
      <c r="H43" s="136">
        <f>H41*(15000/52)/100</f>
        <v>218.91346153846152</v>
      </c>
      <c r="I43" s="170">
        <f>I41*(15000/52)/100</f>
        <v>212.91346153846152</v>
      </c>
      <c r="J43" s="193">
        <f>I67</f>
        <v>188.91500000000002</v>
      </c>
      <c r="K43" s="124"/>
      <c r="M43" s="215"/>
      <c r="N43" s="216"/>
      <c r="O43" s="216"/>
      <c r="P43" s="216"/>
      <c r="Q43" s="216"/>
      <c r="R43" s="216"/>
      <c r="S43" s="216"/>
      <c r="T43" s="217"/>
    </row>
    <row r="44" spans="1:16" ht="13.5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L44" s="94"/>
      <c r="P44" s="81"/>
    </row>
    <row r="45" spans="1:12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4"/>
    </row>
    <row r="46" spans="1:12" ht="13.5" thickBo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4"/>
    </row>
    <row r="47" spans="1:20" ht="12.7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20"/>
      <c r="L47" s="94"/>
      <c r="M47" s="203" t="s">
        <v>92</v>
      </c>
      <c r="N47" s="203"/>
      <c r="O47" s="203"/>
      <c r="P47" s="203"/>
      <c r="Q47" s="203"/>
      <c r="R47" s="203"/>
      <c r="S47" s="203"/>
      <c r="T47" s="203"/>
    </row>
    <row r="48" spans="1:20" ht="15">
      <c r="A48" s="130" t="s">
        <v>77</v>
      </c>
      <c r="B48" s="91"/>
      <c r="C48" s="91"/>
      <c r="D48" s="91"/>
      <c r="E48" s="91"/>
      <c r="F48" s="91"/>
      <c r="G48" s="91"/>
      <c r="H48" s="91"/>
      <c r="I48" s="137" t="s">
        <v>88</v>
      </c>
      <c r="J48" s="137" t="s">
        <v>89</v>
      </c>
      <c r="K48" s="124"/>
      <c r="L48" s="94"/>
      <c r="M48" s="203" t="s">
        <v>93</v>
      </c>
      <c r="N48" s="203"/>
      <c r="O48" s="203"/>
      <c r="P48" s="203"/>
      <c r="Q48" s="203"/>
      <c r="R48" s="203"/>
      <c r="S48" s="203"/>
      <c r="T48" s="203"/>
    </row>
    <row r="49" spans="1:20" ht="12.75">
      <c r="A49" s="123"/>
      <c r="B49" s="91"/>
      <c r="C49" s="91"/>
      <c r="D49" s="91"/>
      <c r="E49" s="91"/>
      <c r="F49" s="91"/>
      <c r="G49" s="91"/>
      <c r="H49" s="91"/>
      <c r="I49" s="91"/>
      <c r="J49" s="91"/>
      <c r="K49" s="124"/>
      <c r="L49" s="94"/>
      <c r="M49" s="203"/>
      <c r="N49" s="203"/>
      <c r="O49" s="203"/>
      <c r="P49" s="203"/>
      <c r="Q49" s="203"/>
      <c r="R49" s="203"/>
      <c r="S49" s="203"/>
      <c r="T49" s="203"/>
    </row>
    <row r="50" spans="1:20" ht="12.75">
      <c r="A50" s="121" t="s">
        <v>79</v>
      </c>
      <c r="B50" s="91"/>
      <c r="C50" s="91"/>
      <c r="D50" s="91"/>
      <c r="E50" s="116">
        <f aca="true" t="shared" si="1" ref="E50:J50">(E41+E28)/2/100</f>
        <v>0.6911566837689801</v>
      </c>
      <c r="F50" s="116">
        <f t="shared" si="1"/>
        <v>0.7206568692597471</v>
      </c>
      <c r="G50" s="116">
        <f t="shared" si="1"/>
        <v>0.7508539999999999</v>
      </c>
      <c r="H50" s="116">
        <f t="shared" si="1"/>
        <v>0.75619</v>
      </c>
      <c r="I50" s="116">
        <f t="shared" si="1"/>
        <v>0.7297143882571818</v>
      </c>
      <c r="J50" s="194">
        <f t="shared" si="1"/>
        <v>0.6641505000000001</v>
      </c>
      <c r="K50" s="124"/>
      <c r="M50" s="203" t="s">
        <v>94</v>
      </c>
      <c r="N50" s="203"/>
      <c r="O50" s="203"/>
      <c r="P50" s="203"/>
      <c r="Q50" s="203"/>
      <c r="R50" s="203"/>
      <c r="S50" s="203"/>
      <c r="T50" s="203"/>
    </row>
    <row r="51" spans="1:20" ht="12.75">
      <c r="A51" s="121"/>
      <c r="B51" s="91"/>
      <c r="C51" s="91"/>
      <c r="D51" s="91"/>
      <c r="E51" s="116"/>
      <c r="F51" s="116"/>
      <c r="G51" s="116"/>
      <c r="H51" s="116"/>
      <c r="I51" s="116"/>
      <c r="J51" s="116"/>
      <c r="K51" s="124"/>
      <c r="M51" s="203" t="s">
        <v>95</v>
      </c>
      <c r="N51" s="203"/>
      <c r="O51" s="203"/>
      <c r="P51" s="203"/>
      <c r="Q51" s="203"/>
      <c r="R51" s="203"/>
      <c r="S51" s="203"/>
      <c r="T51" s="203"/>
    </row>
    <row r="52" spans="1:20" ht="12.75">
      <c r="A52" s="121" t="s">
        <v>78</v>
      </c>
      <c r="B52" s="91"/>
      <c r="C52" s="91"/>
      <c r="D52" s="91"/>
      <c r="E52" s="116">
        <f aca="true" t="shared" si="2" ref="E52:J52">(E43+E30)/2</f>
        <v>199.37212031797503</v>
      </c>
      <c r="F52" s="116">
        <f t="shared" si="2"/>
        <v>207.88178920954243</v>
      </c>
      <c r="G52" s="116">
        <f t="shared" si="2"/>
        <v>216.5925</v>
      </c>
      <c r="H52" s="116">
        <f t="shared" si="2"/>
        <v>218.13173076923078</v>
      </c>
      <c r="I52" s="202">
        <f t="shared" si="2"/>
        <v>210.49453507418704</v>
      </c>
      <c r="J52" s="194">
        <f t="shared" si="2"/>
        <v>191.57889423076927</v>
      </c>
      <c r="K52" s="124"/>
      <c r="M52" s="203"/>
      <c r="N52" s="203"/>
      <c r="O52" s="203"/>
      <c r="P52" s="203"/>
      <c r="Q52" s="203"/>
      <c r="R52" s="203"/>
      <c r="S52" s="203"/>
      <c r="T52" s="203"/>
    </row>
    <row r="53" spans="1:20" ht="12.75">
      <c r="A53" s="121"/>
      <c r="B53" s="91"/>
      <c r="C53" s="91"/>
      <c r="D53" s="91"/>
      <c r="E53" s="91"/>
      <c r="F53" s="91"/>
      <c r="G53" s="91"/>
      <c r="H53" s="91"/>
      <c r="I53" s="91"/>
      <c r="J53" s="91"/>
      <c r="K53" s="124"/>
      <c r="M53" s="203" t="s">
        <v>97</v>
      </c>
      <c r="N53" s="203"/>
      <c r="O53" s="203"/>
      <c r="P53" s="203"/>
      <c r="Q53" s="203"/>
      <c r="R53" s="203"/>
      <c r="S53" s="203"/>
      <c r="T53" s="203"/>
    </row>
    <row r="54" spans="1:20" ht="15">
      <c r="A54" s="174" t="s">
        <v>82</v>
      </c>
      <c r="B54" s="175"/>
      <c r="C54" s="175"/>
      <c r="D54" s="175"/>
      <c r="E54" s="176">
        <f aca="true" t="shared" si="3" ref="E54:J54">E52*52</f>
        <v>10367.3502565347</v>
      </c>
      <c r="F54" s="176">
        <f t="shared" si="3"/>
        <v>10809.853038896206</v>
      </c>
      <c r="G54" s="176">
        <f t="shared" si="3"/>
        <v>11262.81</v>
      </c>
      <c r="H54" s="176">
        <f t="shared" si="3"/>
        <v>11342.85</v>
      </c>
      <c r="I54" s="184">
        <f t="shared" si="3"/>
        <v>10945.715823857727</v>
      </c>
      <c r="J54" s="195">
        <f t="shared" si="3"/>
        <v>9962.1025</v>
      </c>
      <c r="K54" s="124"/>
      <c r="M54" s="203" t="s">
        <v>98</v>
      </c>
      <c r="N54" s="203"/>
      <c r="O54" s="203"/>
      <c r="P54" s="203"/>
      <c r="Q54" s="203"/>
      <c r="R54" s="203"/>
      <c r="S54" s="203"/>
      <c r="T54" s="203"/>
    </row>
    <row r="55" spans="1:11" ht="13.5" thickBot="1">
      <c r="A55" s="173"/>
      <c r="B55" s="128"/>
      <c r="C55" s="128"/>
      <c r="D55" s="128"/>
      <c r="E55" s="128"/>
      <c r="F55" s="128"/>
      <c r="G55" s="128"/>
      <c r="H55" s="128"/>
      <c r="I55" s="128"/>
      <c r="J55" s="128"/>
      <c r="K55" s="129"/>
    </row>
    <row r="56" ht="12.75">
      <c r="N56" s="91"/>
    </row>
    <row r="57" ht="12.75">
      <c r="N57" s="91"/>
    </row>
    <row r="58" ht="12.75">
      <c r="N58" s="109"/>
    </row>
    <row r="59" spans="1:14" ht="12.75">
      <c r="A59" s="96"/>
      <c r="B59" s="97"/>
      <c r="C59" s="97"/>
      <c r="D59" s="97"/>
      <c r="E59" s="97"/>
      <c r="F59" s="97"/>
      <c r="G59" s="97"/>
      <c r="H59" s="97"/>
      <c r="I59" s="98"/>
      <c r="J59" s="98"/>
      <c r="K59" s="180"/>
      <c r="L59" s="91"/>
      <c r="N59" s="91"/>
    </row>
    <row r="60" spans="1:14" ht="12.75">
      <c r="A60" s="103" t="s">
        <v>48</v>
      </c>
      <c r="B60" s="95"/>
      <c r="C60" s="95"/>
      <c r="D60" s="102"/>
      <c r="E60" s="102"/>
      <c r="F60" s="102"/>
      <c r="G60" s="102"/>
      <c r="H60" s="95"/>
      <c r="I60" s="137" t="s">
        <v>84</v>
      </c>
      <c r="J60" s="137" t="s">
        <v>85</v>
      </c>
      <c r="K60" s="180"/>
      <c r="L60" s="91"/>
      <c r="N60" s="91"/>
    </row>
    <row r="61" spans="1:12" ht="12.75">
      <c r="A61" s="101" t="s">
        <v>37</v>
      </c>
      <c r="B61" s="95"/>
      <c r="C61" s="95"/>
      <c r="D61" s="91"/>
      <c r="E61" s="102">
        <v>178.63</v>
      </c>
      <c r="F61" s="102">
        <v>152.71</v>
      </c>
      <c r="G61" s="102">
        <v>180.78</v>
      </c>
      <c r="H61" s="102">
        <v>183.82</v>
      </c>
      <c r="I61" s="190">
        <f>AVERAGE(E61:H61)</f>
        <v>173.985</v>
      </c>
      <c r="J61" s="100">
        <f>I61*52</f>
        <v>9047.220000000001</v>
      </c>
      <c r="K61" s="180"/>
      <c r="L61" s="91"/>
    </row>
    <row r="62" spans="1:12" ht="12.75">
      <c r="A62" s="101"/>
      <c r="B62" s="95"/>
      <c r="C62" s="95"/>
      <c r="D62" s="91"/>
      <c r="E62" s="95"/>
      <c r="F62" s="95"/>
      <c r="G62" s="95"/>
      <c r="H62" s="95"/>
      <c r="I62" s="91"/>
      <c r="J62" s="91"/>
      <c r="K62" s="180"/>
      <c r="L62" s="91"/>
    </row>
    <row r="63" spans="1:12" ht="12.75">
      <c r="A63" s="103" t="s">
        <v>49</v>
      </c>
      <c r="B63" s="95"/>
      <c r="C63" s="95"/>
      <c r="D63" s="91"/>
      <c r="E63" s="102"/>
      <c r="F63" s="102"/>
      <c r="G63" s="102"/>
      <c r="H63" s="102"/>
      <c r="I63" s="91"/>
      <c r="J63" s="91"/>
      <c r="K63" s="180"/>
      <c r="L63" s="91"/>
    </row>
    <row r="64" spans="1:12" ht="12.75">
      <c r="A64" s="101" t="s">
        <v>37</v>
      </c>
      <c r="B64" s="95"/>
      <c r="C64" s="95"/>
      <c r="D64" s="91"/>
      <c r="E64" s="102">
        <v>184.79</v>
      </c>
      <c r="F64" s="102">
        <v>162.41</v>
      </c>
      <c r="G64" s="102">
        <v>182.19</v>
      </c>
      <c r="H64" s="102">
        <v>180.76</v>
      </c>
      <c r="I64" s="190">
        <f>AVERAGE(E64:H64)</f>
        <v>177.5375</v>
      </c>
      <c r="J64" s="100">
        <f>I64*52</f>
        <v>9231.949999999999</v>
      </c>
      <c r="K64" s="180"/>
      <c r="L64" s="91"/>
    </row>
    <row r="65" spans="1:12" ht="12.75">
      <c r="A65" s="101"/>
      <c r="B65" s="95"/>
      <c r="C65" s="95"/>
      <c r="D65" s="91"/>
      <c r="E65" s="95"/>
      <c r="F65" s="95"/>
      <c r="G65" s="95"/>
      <c r="H65" s="95"/>
      <c r="I65" s="91"/>
      <c r="J65" s="91"/>
      <c r="K65" s="180"/>
      <c r="L65" s="91"/>
    </row>
    <row r="66" spans="1:12" ht="12.75">
      <c r="A66" s="99" t="s">
        <v>53</v>
      </c>
      <c r="B66" s="55"/>
      <c r="C66" s="55"/>
      <c r="D66" s="91"/>
      <c r="E66" s="95"/>
      <c r="F66" s="95"/>
      <c r="G66" s="95"/>
      <c r="H66" s="95"/>
      <c r="K66" s="180"/>
      <c r="L66" s="91"/>
    </row>
    <row r="67" spans="1:12" ht="12.75">
      <c r="A67" s="104" t="s">
        <v>37</v>
      </c>
      <c r="B67" s="55"/>
      <c r="C67" s="55"/>
      <c r="D67" s="91"/>
      <c r="E67" s="105">
        <v>180.12</v>
      </c>
      <c r="F67" s="105">
        <v>175.14</v>
      </c>
      <c r="G67" s="105">
        <v>197.7</v>
      </c>
      <c r="H67" s="105">
        <v>202.7</v>
      </c>
      <c r="I67" s="179">
        <f>AVERAGE(E67:H67)</f>
        <v>188.91500000000002</v>
      </c>
      <c r="J67" s="178">
        <f>I67*52</f>
        <v>9823.580000000002</v>
      </c>
      <c r="K67" s="180"/>
      <c r="L67" s="91"/>
    </row>
    <row r="68" spans="1:12" ht="12.75">
      <c r="A68" s="106"/>
      <c r="B68" s="107"/>
      <c r="C68" s="107"/>
      <c r="D68" s="107"/>
      <c r="E68" s="107"/>
      <c r="F68" s="107"/>
      <c r="G68" s="107"/>
      <c r="H68" s="107"/>
      <c r="I68" s="108"/>
      <c r="J68" s="108"/>
      <c r="K68" s="180"/>
      <c r="L68" s="91"/>
    </row>
  </sheetData>
  <sheetProtection/>
  <mergeCells count="1">
    <mergeCell ref="M14:T14"/>
  </mergeCells>
  <printOptions/>
  <pageMargins left="0.2" right="0.2" top="0.27" bottom="0.2" header="0.19" footer="0.18"/>
  <pageSetup fitToHeight="1" fitToWidth="1" horizontalDpi="600" verticalDpi="600" orientation="landscape" paperSize="9" scale="57" r:id="rId1"/>
  <headerFooter alignWithMargins="0">
    <oddFooter>&amp;L&amp;Z&amp;F  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4">
      <selection activeCell="O17" sqref="O17"/>
    </sheetView>
  </sheetViews>
  <sheetFormatPr defaultColWidth="9.140625" defaultRowHeight="12.75"/>
  <cols>
    <col min="5" max="5" width="9.28125" style="0" bestFit="1" customWidth="1"/>
    <col min="8" max="8" width="9.28125" style="0" bestFit="1" customWidth="1"/>
  </cols>
  <sheetData>
    <row r="1" ht="15.75">
      <c r="A1" s="1" t="s">
        <v>52</v>
      </c>
    </row>
    <row r="3" ht="12.75">
      <c r="A3" t="s">
        <v>47</v>
      </c>
    </row>
    <row r="4" ht="12.75">
      <c r="A4" t="s">
        <v>34</v>
      </c>
    </row>
    <row r="5" ht="12.75">
      <c r="B5" t="s">
        <v>28</v>
      </c>
    </row>
    <row r="6" ht="12.75">
      <c r="C6" s="25" t="s">
        <v>29</v>
      </c>
    </row>
    <row r="7" ht="12.75">
      <c r="B7" t="s">
        <v>26</v>
      </c>
    </row>
    <row r="8" ht="12.75">
      <c r="B8" t="s">
        <v>16</v>
      </c>
    </row>
    <row r="9" spans="11:19" ht="12.75">
      <c r="K9" s="57" t="s">
        <v>50</v>
      </c>
      <c r="L9" s="58"/>
      <c r="O9" s="48" t="s">
        <v>42</v>
      </c>
      <c r="P9" s="49"/>
      <c r="R9" s="38" t="s">
        <v>44</v>
      </c>
      <c r="S9" s="39"/>
    </row>
    <row r="10" spans="1:19" ht="12.75">
      <c r="A10" s="23" t="s">
        <v>39</v>
      </c>
      <c r="E10" s="4"/>
      <c r="F10" s="3"/>
      <c r="G10" s="5" t="s">
        <v>24</v>
      </c>
      <c r="H10" s="5"/>
      <c r="I10" s="6"/>
      <c r="J10" s="2"/>
      <c r="K10" s="59" t="s">
        <v>51</v>
      </c>
      <c r="L10" s="60"/>
      <c r="M10" s="2"/>
      <c r="N10" s="2"/>
      <c r="O10" s="36" t="s">
        <v>43</v>
      </c>
      <c r="P10" s="37"/>
      <c r="R10" s="40" t="s">
        <v>45</v>
      </c>
      <c r="S10" s="41"/>
    </row>
    <row r="11" spans="1:19" ht="12.75">
      <c r="A11" t="s">
        <v>38</v>
      </c>
      <c r="E11" s="7" t="s">
        <v>5</v>
      </c>
      <c r="F11" s="7" t="s">
        <v>11</v>
      </c>
      <c r="G11" s="7" t="s">
        <v>5</v>
      </c>
      <c r="H11" s="7" t="s">
        <v>14</v>
      </c>
      <c r="I11" s="7"/>
      <c r="J11" s="2"/>
      <c r="K11" s="61"/>
      <c r="L11" s="61"/>
      <c r="M11" s="2"/>
      <c r="N11" s="2"/>
      <c r="O11" s="11" t="s">
        <v>18</v>
      </c>
      <c r="P11" s="11" t="s">
        <v>21</v>
      </c>
      <c r="R11" s="42" t="s">
        <v>18</v>
      </c>
      <c r="S11" s="42" t="s">
        <v>21</v>
      </c>
    </row>
    <row r="12" spans="5:19" ht="12.75">
      <c r="E12" s="8" t="s">
        <v>6</v>
      </c>
      <c r="F12" s="8" t="s">
        <v>12</v>
      </c>
      <c r="G12" s="8" t="s">
        <v>13</v>
      </c>
      <c r="H12" s="8" t="s">
        <v>15</v>
      </c>
      <c r="I12" s="9" t="s">
        <v>17</v>
      </c>
      <c r="J12" s="2"/>
      <c r="K12" s="61"/>
      <c r="L12" s="61"/>
      <c r="M12" s="2"/>
      <c r="N12" s="2"/>
      <c r="O12" s="12" t="s">
        <v>19</v>
      </c>
      <c r="P12" s="12" t="s">
        <v>22</v>
      </c>
      <c r="R12" s="9" t="s">
        <v>19</v>
      </c>
      <c r="S12" s="9" t="s">
        <v>22</v>
      </c>
    </row>
    <row r="13" spans="1:19" ht="12.75">
      <c r="A13" t="s">
        <v>4</v>
      </c>
      <c r="E13" s="13"/>
      <c r="F13" s="13"/>
      <c r="G13" s="13"/>
      <c r="H13" s="13"/>
      <c r="I13" s="13"/>
      <c r="K13" s="62"/>
      <c r="L13" s="62"/>
      <c r="O13" s="18"/>
      <c r="P13" s="18"/>
      <c r="R13" s="43"/>
      <c r="S13" s="43"/>
    </row>
    <row r="14" spans="2:19" ht="12.75">
      <c r="B14" t="s">
        <v>1</v>
      </c>
      <c r="E14" s="16">
        <v>40.5</v>
      </c>
      <c r="F14" s="16">
        <v>32.3</v>
      </c>
      <c r="G14" s="16">
        <v>39.84</v>
      </c>
      <c r="H14" s="16">
        <v>40.43</v>
      </c>
      <c r="I14" s="16">
        <f>SUM(E14:H14)/4</f>
        <v>38.2675</v>
      </c>
      <c r="K14" s="63"/>
      <c r="L14" s="63"/>
      <c r="O14" s="19"/>
      <c r="P14" s="19"/>
      <c r="R14" s="44"/>
      <c r="S14" s="44"/>
    </row>
    <row r="15" spans="2:19" ht="12.75">
      <c r="B15" t="s">
        <v>2</v>
      </c>
      <c r="E15" s="16">
        <v>6.89</v>
      </c>
      <c r="F15" s="16">
        <v>5.49</v>
      </c>
      <c r="G15" s="16">
        <v>6.9</v>
      </c>
      <c r="H15" s="16">
        <v>6.98</v>
      </c>
      <c r="I15" s="16">
        <f>SUM(E15:H15)/4</f>
        <v>6.565</v>
      </c>
      <c r="K15" s="63"/>
      <c r="L15" s="63"/>
      <c r="O15" s="19"/>
      <c r="P15" s="19"/>
      <c r="R15" s="44"/>
      <c r="S15" s="44"/>
    </row>
    <row r="16" spans="2:19" ht="12.75">
      <c r="B16" t="s">
        <v>33</v>
      </c>
      <c r="E16" s="16">
        <v>8.06</v>
      </c>
      <c r="F16" s="16">
        <v>6.75</v>
      </c>
      <c r="G16" s="16">
        <v>6.78</v>
      </c>
      <c r="H16" s="16">
        <v>6.91</v>
      </c>
      <c r="I16" s="16">
        <f>SUM(E16:H16)/4</f>
        <v>7.125</v>
      </c>
      <c r="K16" s="63"/>
      <c r="L16" s="63"/>
      <c r="O16" s="19"/>
      <c r="P16" s="19"/>
      <c r="R16" s="44"/>
      <c r="S16" s="44"/>
    </row>
    <row r="17" spans="5:19" ht="12.75">
      <c r="E17" s="16"/>
      <c r="F17" s="24"/>
      <c r="G17" s="16"/>
      <c r="H17" s="16"/>
      <c r="I17" s="17">
        <f>SUM(I14:I16)</f>
        <v>51.957499999999996</v>
      </c>
      <c r="K17" s="63"/>
      <c r="L17" s="63"/>
      <c r="O17" s="20">
        <f>I17*15000/100</f>
        <v>7793.624999999999</v>
      </c>
      <c r="P17" s="19"/>
      <c r="R17" s="45">
        <f>'2003'!K17</f>
        <v>7131.75</v>
      </c>
      <c r="S17" s="44"/>
    </row>
    <row r="18" spans="1:19" ht="12.75">
      <c r="A18" t="s">
        <v>7</v>
      </c>
      <c r="E18" s="16"/>
      <c r="F18" s="16"/>
      <c r="G18" s="16"/>
      <c r="H18" s="16"/>
      <c r="I18" s="16"/>
      <c r="K18" s="63"/>
      <c r="L18" s="63"/>
      <c r="O18" s="19"/>
      <c r="P18" s="19"/>
      <c r="R18" s="44"/>
      <c r="S18" s="44"/>
    </row>
    <row r="19" spans="2:19" ht="12.75">
      <c r="B19" t="s">
        <v>8</v>
      </c>
      <c r="E19" s="16">
        <v>10.58</v>
      </c>
      <c r="F19" s="16">
        <v>10.05</v>
      </c>
      <c r="G19" s="16">
        <v>11.64</v>
      </c>
      <c r="H19" s="16">
        <v>12.17</v>
      </c>
      <c r="I19" s="70">
        <f>SUM(E19:H19)/4</f>
        <v>11.110000000000001</v>
      </c>
      <c r="K19" s="63"/>
      <c r="L19" s="63"/>
      <c r="O19" s="19"/>
      <c r="P19" s="19"/>
      <c r="R19" s="44"/>
      <c r="S19" s="44"/>
    </row>
    <row r="20" spans="2:19" ht="12.75">
      <c r="B20" t="s">
        <v>9</v>
      </c>
      <c r="E20" s="16">
        <v>2.07</v>
      </c>
      <c r="F20" s="16">
        <v>1.38</v>
      </c>
      <c r="G20" s="16">
        <v>1.38</v>
      </c>
      <c r="H20" s="16">
        <v>1.84</v>
      </c>
      <c r="I20" s="16">
        <f>SUM(E20:H20)/4</f>
        <v>1.6675</v>
      </c>
      <c r="K20" s="63"/>
      <c r="L20" s="63"/>
      <c r="O20" s="19"/>
      <c r="P20" s="19"/>
      <c r="R20" s="44"/>
      <c r="S20" s="44"/>
    </row>
    <row r="21" spans="2:19" ht="12.75">
      <c r="B21" t="s">
        <v>10</v>
      </c>
      <c r="E21" s="16">
        <v>2.82</v>
      </c>
      <c r="F21" s="16">
        <v>2.7</v>
      </c>
      <c r="G21" s="16">
        <v>2.12</v>
      </c>
      <c r="H21" s="16">
        <v>2.77</v>
      </c>
      <c r="I21" s="16">
        <f>SUM(E21:H21)/4</f>
        <v>2.6025</v>
      </c>
      <c r="K21" s="63"/>
      <c r="L21" s="63"/>
      <c r="O21" s="19"/>
      <c r="P21" s="19"/>
      <c r="R21" s="44"/>
      <c r="S21" s="44"/>
    </row>
    <row r="22" spans="5:19" ht="12.75">
      <c r="E22" s="32"/>
      <c r="F22" s="32"/>
      <c r="G22" s="32"/>
      <c r="H22" s="32"/>
      <c r="I22" s="17">
        <f>SUM(I19:I21)</f>
        <v>15.380000000000003</v>
      </c>
      <c r="K22" s="63"/>
      <c r="L22" s="63"/>
      <c r="O22" s="21"/>
      <c r="P22" s="22">
        <f>I22/100*1000</f>
        <v>153.8</v>
      </c>
      <c r="R22" s="46"/>
      <c r="S22" s="47">
        <f>'2003'!L22</f>
        <v>144.725</v>
      </c>
    </row>
    <row r="23" spans="11:12" ht="12.75">
      <c r="K23" s="63"/>
      <c r="L23" s="63"/>
    </row>
    <row r="24" spans="1:12" ht="12.75">
      <c r="A24" s="25" t="s">
        <v>27</v>
      </c>
      <c r="B24" s="25"/>
      <c r="C24" s="25"/>
      <c r="D24" s="25"/>
      <c r="E24" s="33">
        <f>SUM(E14:E21)</f>
        <v>70.91999999999999</v>
      </c>
      <c r="F24" s="33">
        <f>SUM(F14:F21)</f>
        <v>58.67000000000001</v>
      </c>
      <c r="G24" s="33">
        <f>SUM(G14:G21)</f>
        <v>68.66</v>
      </c>
      <c r="H24" s="33">
        <f>SUM(H14:H21)</f>
        <v>71.1</v>
      </c>
      <c r="I24" s="33"/>
      <c r="K24" s="63"/>
      <c r="L24" s="63"/>
    </row>
    <row r="25" spans="1:16" ht="12.75">
      <c r="A25" s="25" t="s">
        <v>36</v>
      </c>
      <c r="B25" s="25"/>
      <c r="C25" s="25"/>
      <c r="D25" s="25"/>
      <c r="E25" s="34">
        <f>E24*150/52</f>
        <v>204.57692307692304</v>
      </c>
      <c r="F25" s="34">
        <f>F24*150/52</f>
        <v>169.24038461538464</v>
      </c>
      <c r="G25" s="34">
        <f>G24*150/52</f>
        <v>198.05769230769232</v>
      </c>
      <c r="H25" s="34">
        <f>H24*150/52</f>
        <v>205.09615384615384</v>
      </c>
      <c r="I25" s="53">
        <f>SUM(E25:H25)/4</f>
        <v>194.24278846153845</v>
      </c>
      <c r="K25" s="64">
        <f>I25*52</f>
        <v>10100.625</v>
      </c>
      <c r="L25" s="63"/>
      <c r="N25" s="23" t="s">
        <v>54</v>
      </c>
      <c r="O25" s="23"/>
      <c r="P25" s="23"/>
    </row>
    <row r="26" spans="1:16" ht="12.75">
      <c r="A26" s="25"/>
      <c r="B26" s="25"/>
      <c r="C26" s="25"/>
      <c r="D26" s="25"/>
      <c r="E26" s="25"/>
      <c r="F26" s="25"/>
      <c r="G26" s="25"/>
      <c r="H26" s="25"/>
      <c r="I26" s="54"/>
      <c r="K26" s="63"/>
      <c r="L26" s="63"/>
      <c r="N26" s="23"/>
      <c r="O26" s="23"/>
      <c r="P26" s="23"/>
    </row>
    <row r="27" spans="1:16" ht="12.75">
      <c r="A27" s="25" t="s">
        <v>37</v>
      </c>
      <c r="B27" s="25"/>
      <c r="C27" s="25"/>
      <c r="D27" s="25"/>
      <c r="E27" s="34">
        <v>175.45</v>
      </c>
      <c r="F27" s="34">
        <v>148.82</v>
      </c>
      <c r="G27" s="34">
        <v>173.69</v>
      </c>
      <c r="H27" s="34">
        <v>178.49</v>
      </c>
      <c r="I27" s="53">
        <f>SUM(E27:H27)/4</f>
        <v>169.1125</v>
      </c>
      <c r="K27" s="64">
        <f>I27*52</f>
        <v>8793.85</v>
      </c>
      <c r="L27" s="63"/>
      <c r="N27" s="75">
        <f>O27+(P27*15)</f>
        <v>9632</v>
      </c>
      <c r="O27" s="73">
        <v>7457</v>
      </c>
      <c r="P27" s="74">
        <v>145</v>
      </c>
    </row>
    <row r="28" spans="1:16" ht="12.75">
      <c r="A28" s="25"/>
      <c r="B28" s="25"/>
      <c r="C28" s="25"/>
      <c r="D28" s="25"/>
      <c r="E28" s="34"/>
      <c r="F28" s="34"/>
      <c r="G28" s="34"/>
      <c r="H28" s="34"/>
      <c r="I28" s="54"/>
      <c r="K28" s="63"/>
      <c r="L28" s="63"/>
      <c r="N28" s="23"/>
      <c r="O28" s="23"/>
      <c r="P28" s="23"/>
    </row>
    <row r="29" spans="1:16" ht="12.75">
      <c r="A29" s="35" t="s">
        <v>48</v>
      </c>
      <c r="B29" s="25"/>
      <c r="C29" s="25"/>
      <c r="D29" s="25"/>
      <c r="E29" s="34"/>
      <c r="F29" s="34"/>
      <c r="G29" s="34"/>
      <c r="H29" s="34"/>
      <c r="I29" s="54"/>
      <c r="K29" s="63"/>
      <c r="L29" s="63"/>
      <c r="N29" s="23"/>
      <c r="O29" s="23"/>
      <c r="P29" s="23"/>
    </row>
    <row r="30" spans="1:16" ht="12.75">
      <c r="A30" s="25" t="s">
        <v>37</v>
      </c>
      <c r="B30" s="25"/>
      <c r="C30" s="25"/>
      <c r="D30" s="25"/>
      <c r="E30" s="34">
        <v>178.63</v>
      </c>
      <c r="F30" s="34">
        <v>152.71</v>
      </c>
      <c r="G30" s="34">
        <v>180.78</v>
      </c>
      <c r="H30" s="34">
        <v>183.82</v>
      </c>
      <c r="I30" s="53">
        <f>SUM(E30:H30)/4</f>
        <v>173.985</v>
      </c>
      <c r="K30" s="64">
        <f>I30*52</f>
        <v>9047.220000000001</v>
      </c>
      <c r="L30" s="71">
        <f>K30/K27-1</f>
        <v>0.028812181240298607</v>
      </c>
      <c r="N30" s="75">
        <f>O30+(P30*15)</f>
        <v>9632</v>
      </c>
      <c r="O30" s="73">
        <v>7457</v>
      </c>
      <c r="P30" s="74">
        <v>145</v>
      </c>
    </row>
    <row r="31" spans="1:16" ht="12.75">
      <c r="A31" s="25"/>
      <c r="B31" s="25"/>
      <c r="C31" s="25"/>
      <c r="D31" s="25"/>
      <c r="E31" s="25"/>
      <c r="F31" s="25"/>
      <c r="G31" s="25"/>
      <c r="H31" s="25"/>
      <c r="I31" s="54"/>
      <c r="K31" s="63"/>
      <c r="L31" s="63"/>
      <c r="N31" s="23"/>
      <c r="O31" s="23"/>
      <c r="P31" s="23"/>
    </row>
    <row r="32" spans="1:16" ht="12.75">
      <c r="A32" s="65" t="s">
        <v>49</v>
      </c>
      <c r="B32" s="66"/>
      <c r="C32" s="66"/>
      <c r="D32" s="66"/>
      <c r="E32" s="67"/>
      <c r="F32" s="67"/>
      <c r="G32" s="67"/>
      <c r="H32" s="67"/>
      <c r="I32" s="68"/>
      <c r="K32" s="63"/>
      <c r="L32" s="63"/>
      <c r="N32" s="23"/>
      <c r="O32" s="76"/>
      <c r="P32" s="76"/>
    </row>
    <row r="33" spans="1:16" ht="12.75">
      <c r="A33" s="66" t="s">
        <v>37</v>
      </c>
      <c r="B33" s="66"/>
      <c r="C33" s="66"/>
      <c r="D33" s="66"/>
      <c r="E33" s="67">
        <v>184.79</v>
      </c>
      <c r="F33" s="67">
        <v>162.41</v>
      </c>
      <c r="G33" s="67">
        <v>182.19</v>
      </c>
      <c r="H33" s="67">
        <v>180.76</v>
      </c>
      <c r="I33" s="69">
        <f>SUM(E33:H33)/4</f>
        <v>177.5375</v>
      </c>
      <c r="K33" s="64">
        <f>I33*52</f>
        <v>9231.949999999999</v>
      </c>
      <c r="L33" s="71">
        <f>K33/K30-1</f>
        <v>0.020418426875879803</v>
      </c>
      <c r="N33" s="75">
        <f>O33+(P33*15)</f>
        <v>9632</v>
      </c>
      <c r="O33" s="73">
        <v>7457</v>
      </c>
      <c r="P33" s="74">
        <v>145</v>
      </c>
    </row>
    <row r="34" spans="1:16" ht="12.75">
      <c r="A34" s="25"/>
      <c r="B34" s="25"/>
      <c r="C34" s="25"/>
      <c r="D34" s="25"/>
      <c r="E34" s="25"/>
      <c r="F34" s="25"/>
      <c r="G34" s="25"/>
      <c r="H34" s="25"/>
      <c r="I34" s="25"/>
      <c r="K34" s="63"/>
      <c r="L34" s="63"/>
      <c r="N34" s="23"/>
      <c r="O34" s="76"/>
      <c r="P34" s="76"/>
    </row>
    <row r="35" spans="1:16" ht="12.75">
      <c r="A35" s="50" t="s">
        <v>53</v>
      </c>
      <c r="B35" s="51"/>
      <c r="C35" s="51"/>
      <c r="D35" s="51"/>
      <c r="E35" s="51"/>
      <c r="F35" s="51"/>
      <c r="G35" s="51"/>
      <c r="H35" s="51"/>
      <c r="I35" s="51"/>
      <c r="K35" s="63"/>
      <c r="L35" s="63"/>
      <c r="N35" s="23"/>
      <c r="O35" s="23"/>
      <c r="P35" s="23"/>
    </row>
    <row r="36" spans="1:16" ht="12.75">
      <c r="A36" s="51" t="s">
        <v>37</v>
      </c>
      <c r="B36" s="51"/>
      <c r="C36" s="51"/>
      <c r="D36" s="51"/>
      <c r="E36" s="52">
        <v>180.12</v>
      </c>
      <c r="F36" s="52">
        <v>175.14</v>
      </c>
      <c r="G36" s="52">
        <v>197.7</v>
      </c>
      <c r="H36" s="52">
        <v>202.7</v>
      </c>
      <c r="I36" s="56">
        <f>SUM(E36:H36)/4</f>
        <v>188.91500000000002</v>
      </c>
      <c r="J36" s="72"/>
      <c r="K36" s="64">
        <f>I36*52</f>
        <v>9823.580000000002</v>
      </c>
      <c r="L36" s="71">
        <f>K36/K33-1</f>
        <v>0.06408505245370733</v>
      </c>
      <c r="N36" s="77">
        <f>O36+(P36*15)</f>
        <v>9827</v>
      </c>
      <c r="O36" s="78">
        <v>7457</v>
      </c>
      <c r="P36" s="79">
        <v>158</v>
      </c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K37" s="72"/>
      <c r="L37" s="72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K38" s="72"/>
      <c r="L38" s="72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K39" s="72"/>
      <c r="L39" s="7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&amp;L&amp;Z&amp;F  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7109375" style="0" customWidth="1"/>
    <col min="5" max="5" width="12.140625" style="0" bestFit="1" customWidth="1"/>
    <col min="6" max="7" width="12.00390625" style="0" bestFit="1" customWidth="1"/>
    <col min="8" max="8" width="11.8515625" style="0" bestFit="1" customWidth="1"/>
    <col min="9" max="9" width="9.57421875" style="0" bestFit="1" customWidth="1"/>
    <col min="10" max="10" width="3.7109375" style="0" customWidth="1"/>
    <col min="13" max="13" width="3.7109375" style="0" customWidth="1"/>
    <col min="14" max="14" width="11.28125" style="0" bestFit="1" customWidth="1"/>
    <col min="15" max="15" width="12.421875" style="0" bestFit="1" customWidth="1"/>
    <col min="16" max="16" width="3.7109375" style="0" customWidth="1"/>
    <col min="17" max="17" width="9.421875" style="0" bestFit="1" customWidth="1"/>
    <col min="18" max="18" width="9.8515625" style="0" bestFit="1" customWidth="1"/>
  </cols>
  <sheetData>
    <row r="1" ht="15.75">
      <c r="A1" s="1" t="s">
        <v>46</v>
      </c>
    </row>
    <row r="3" ht="12.75">
      <c r="A3" t="s">
        <v>47</v>
      </c>
    </row>
    <row r="4" ht="12.75">
      <c r="A4" t="s">
        <v>34</v>
      </c>
    </row>
    <row r="5" ht="12.75">
      <c r="B5" t="s">
        <v>28</v>
      </c>
    </row>
    <row r="6" ht="12.75">
      <c r="C6" s="25" t="s">
        <v>29</v>
      </c>
    </row>
    <row r="7" ht="12.75">
      <c r="B7" t="s">
        <v>26</v>
      </c>
    </row>
    <row r="8" ht="12.75">
      <c r="B8" t="s">
        <v>16</v>
      </c>
    </row>
    <row r="9" spans="11:18" ht="12.75">
      <c r="K9" s="57" t="s">
        <v>50</v>
      </c>
      <c r="L9" s="58"/>
      <c r="N9" s="48" t="s">
        <v>42</v>
      </c>
      <c r="O9" s="49"/>
      <c r="Q9" s="38" t="s">
        <v>44</v>
      </c>
      <c r="R9" s="39"/>
    </row>
    <row r="10" spans="1:18" ht="12.75">
      <c r="A10" s="23" t="s">
        <v>39</v>
      </c>
      <c r="E10" s="4"/>
      <c r="F10" s="3"/>
      <c r="G10" s="5" t="s">
        <v>24</v>
      </c>
      <c r="H10" s="5"/>
      <c r="I10" s="6"/>
      <c r="J10" s="2"/>
      <c r="K10" s="59" t="s">
        <v>51</v>
      </c>
      <c r="L10" s="60"/>
      <c r="M10" s="2"/>
      <c r="N10" s="36" t="s">
        <v>43</v>
      </c>
      <c r="O10" s="37"/>
      <c r="Q10" s="40" t="s">
        <v>45</v>
      </c>
      <c r="R10" s="41"/>
    </row>
    <row r="11" spans="1:18" ht="12.75">
      <c r="A11" t="s">
        <v>38</v>
      </c>
      <c r="E11" s="7" t="s">
        <v>5</v>
      </c>
      <c r="F11" s="7" t="s">
        <v>11</v>
      </c>
      <c r="G11" s="7" t="s">
        <v>5</v>
      </c>
      <c r="H11" s="7" t="s">
        <v>14</v>
      </c>
      <c r="I11" s="7"/>
      <c r="J11" s="2"/>
      <c r="K11" s="61"/>
      <c r="L11" s="61"/>
      <c r="M11" s="2"/>
      <c r="N11" s="11" t="s">
        <v>18</v>
      </c>
      <c r="O11" s="11" t="s">
        <v>21</v>
      </c>
      <c r="Q11" s="42" t="s">
        <v>18</v>
      </c>
      <c r="R11" s="42" t="s">
        <v>21</v>
      </c>
    </row>
    <row r="12" spans="5:18" ht="12.75">
      <c r="E12" s="8" t="s">
        <v>6</v>
      </c>
      <c r="F12" s="8" t="s">
        <v>12</v>
      </c>
      <c r="G12" s="8" t="s">
        <v>13</v>
      </c>
      <c r="H12" s="8" t="s">
        <v>15</v>
      </c>
      <c r="I12" s="9" t="s">
        <v>17</v>
      </c>
      <c r="J12" s="2"/>
      <c r="K12" s="61"/>
      <c r="L12" s="61"/>
      <c r="M12" s="2"/>
      <c r="N12" s="12" t="s">
        <v>19</v>
      </c>
      <c r="O12" s="12" t="s">
        <v>22</v>
      </c>
      <c r="Q12" s="9" t="s">
        <v>19</v>
      </c>
      <c r="R12" s="9" t="s">
        <v>22</v>
      </c>
    </row>
    <row r="13" spans="1:18" ht="12.75">
      <c r="A13" t="s">
        <v>4</v>
      </c>
      <c r="E13" s="13"/>
      <c r="F13" s="13"/>
      <c r="G13" s="13"/>
      <c r="H13" s="13"/>
      <c r="I13" s="13"/>
      <c r="K13" s="62"/>
      <c r="L13" s="62"/>
      <c r="N13" s="18"/>
      <c r="O13" s="18"/>
      <c r="Q13" s="43"/>
      <c r="R13" s="43"/>
    </row>
    <row r="14" spans="2:18" ht="12.75">
      <c r="B14" t="s">
        <v>1</v>
      </c>
      <c r="E14" s="16">
        <v>40.5</v>
      </c>
      <c r="F14" s="16">
        <v>32.3</v>
      </c>
      <c r="G14" s="16">
        <v>39.84</v>
      </c>
      <c r="H14" s="16">
        <v>40.43</v>
      </c>
      <c r="I14" s="16">
        <f>SUM(E14:H14)/4</f>
        <v>38.2675</v>
      </c>
      <c r="K14" s="63"/>
      <c r="L14" s="63"/>
      <c r="N14" s="19"/>
      <c r="O14" s="19"/>
      <c r="Q14" s="44"/>
      <c r="R14" s="44"/>
    </row>
    <row r="15" spans="2:18" ht="12.75">
      <c r="B15" t="s">
        <v>2</v>
      </c>
      <c r="E15" s="16">
        <v>6.89</v>
      </c>
      <c r="F15" s="16">
        <v>5.49</v>
      </c>
      <c r="G15" s="16">
        <v>6.9</v>
      </c>
      <c r="H15" s="16">
        <v>6.98</v>
      </c>
      <c r="I15" s="16">
        <f>SUM(E15:H15)/4</f>
        <v>6.565</v>
      </c>
      <c r="K15" s="63"/>
      <c r="L15" s="63"/>
      <c r="N15" s="19"/>
      <c r="O15" s="19"/>
      <c r="Q15" s="44"/>
      <c r="R15" s="44"/>
    </row>
    <row r="16" spans="2:18" ht="12.75">
      <c r="B16" t="s">
        <v>33</v>
      </c>
      <c r="E16" s="16">
        <v>8.06</v>
      </c>
      <c r="F16" s="16">
        <v>6.75</v>
      </c>
      <c r="G16" s="16">
        <v>6.78</v>
      </c>
      <c r="H16" s="16">
        <v>6.91</v>
      </c>
      <c r="I16" s="16">
        <f>SUM(E16:H16)/4</f>
        <v>7.125</v>
      </c>
      <c r="K16" s="63"/>
      <c r="L16" s="63"/>
      <c r="N16" s="19"/>
      <c r="O16" s="19"/>
      <c r="Q16" s="44"/>
      <c r="R16" s="44"/>
    </row>
    <row r="17" spans="5:18" ht="12.75">
      <c r="E17" s="16"/>
      <c r="F17" s="24"/>
      <c r="G17" s="16"/>
      <c r="H17" s="16"/>
      <c r="I17" s="17">
        <f>SUM(I14:I16)</f>
        <v>51.957499999999996</v>
      </c>
      <c r="K17" s="63"/>
      <c r="L17" s="63"/>
      <c r="N17" s="20">
        <f>I17*15000/100</f>
        <v>7793.624999999999</v>
      </c>
      <c r="O17" s="19"/>
      <c r="Q17" s="45">
        <f>'2003'!K17</f>
        <v>7131.75</v>
      </c>
      <c r="R17" s="44"/>
    </row>
    <row r="18" spans="1:18" ht="12.75">
      <c r="A18" t="s">
        <v>7</v>
      </c>
      <c r="E18" s="16"/>
      <c r="F18" s="16"/>
      <c r="G18" s="16"/>
      <c r="H18" s="16"/>
      <c r="I18" s="16"/>
      <c r="K18" s="63"/>
      <c r="L18" s="63"/>
      <c r="N18" s="19"/>
      <c r="O18" s="19"/>
      <c r="Q18" s="44"/>
      <c r="R18" s="44"/>
    </row>
    <row r="19" spans="2:18" ht="12.75">
      <c r="B19" t="s">
        <v>8</v>
      </c>
      <c r="E19" s="16">
        <v>10.58</v>
      </c>
      <c r="F19" s="16">
        <v>10.05</v>
      </c>
      <c r="G19" s="16">
        <v>11.64</v>
      </c>
      <c r="H19" s="16">
        <v>12.17</v>
      </c>
      <c r="I19" s="16">
        <f>SUM(E19:H19)/4</f>
        <v>11.110000000000001</v>
      </c>
      <c r="K19" s="63"/>
      <c r="L19" s="63"/>
      <c r="N19" s="19"/>
      <c r="O19" s="19"/>
      <c r="Q19" s="44"/>
      <c r="R19" s="44"/>
    </row>
    <row r="20" spans="2:18" ht="12.75">
      <c r="B20" t="s">
        <v>9</v>
      </c>
      <c r="E20" s="16">
        <v>2.07</v>
      </c>
      <c r="F20" s="16">
        <v>1.38</v>
      </c>
      <c r="G20" s="16">
        <v>1.38</v>
      </c>
      <c r="H20" s="16">
        <v>1.84</v>
      </c>
      <c r="I20" s="16">
        <f>SUM(E20:H20)/4</f>
        <v>1.6675</v>
      </c>
      <c r="K20" s="63"/>
      <c r="L20" s="63"/>
      <c r="N20" s="19"/>
      <c r="O20" s="19"/>
      <c r="Q20" s="44"/>
      <c r="R20" s="44"/>
    </row>
    <row r="21" spans="2:18" ht="12.75">
      <c r="B21" t="s">
        <v>10</v>
      </c>
      <c r="E21" s="16">
        <v>2.82</v>
      </c>
      <c r="F21" s="16">
        <v>2.7</v>
      </c>
      <c r="G21" s="16">
        <v>2.12</v>
      </c>
      <c r="H21" s="16">
        <v>2.77</v>
      </c>
      <c r="I21" s="16">
        <f>SUM(E21:H21)/4</f>
        <v>2.6025</v>
      </c>
      <c r="K21" s="63"/>
      <c r="L21" s="63"/>
      <c r="N21" s="19"/>
      <c r="O21" s="19"/>
      <c r="Q21" s="44"/>
      <c r="R21" s="44"/>
    </row>
    <row r="22" spans="5:18" ht="12.75">
      <c r="E22" s="32"/>
      <c r="F22" s="32"/>
      <c r="G22" s="32"/>
      <c r="H22" s="32"/>
      <c r="I22" s="17">
        <f>SUM(I19:I21)</f>
        <v>15.380000000000003</v>
      </c>
      <c r="K22" s="63"/>
      <c r="L22" s="63"/>
      <c r="N22" s="21"/>
      <c r="O22" s="22">
        <f>I22/100*1000</f>
        <v>153.8</v>
      </c>
      <c r="Q22" s="46"/>
      <c r="R22" s="47">
        <f>'2003'!L22</f>
        <v>144.725</v>
      </c>
    </row>
    <row r="23" spans="11:12" ht="12.75">
      <c r="K23" s="63"/>
      <c r="L23" s="63"/>
    </row>
    <row r="24" spans="1:12" ht="12.75">
      <c r="A24" s="25" t="s">
        <v>27</v>
      </c>
      <c r="B24" s="25"/>
      <c r="C24" s="25"/>
      <c r="D24" s="25"/>
      <c r="E24" s="33">
        <f>SUM(E14:E21)</f>
        <v>70.91999999999999</v>
      </c>
      <c r="F24" s="33">
        <f>SUM(F14:F21)</f>
        <v>58.67000000000001</v>
      </c>
      <c r="G24" s="33">
        <f>SUM(G14:G21)</f>
        <v>68.66</v>
      </c>
      <c r="H24" s="33">
        <f>SUM(H14:H21)</f>
        <v>71.1</v>
      </c>
      <c r="I24" s="33"/>
      <c r="K24" s="63"/>
      <c r="L24" s="63"/>
    </row>
    <row r="25" spans="1:12" ht="12.75">
      <c r="A25" s="25" t="s">
        <v>36</v>
      </c>
      <c r="B25" s="25"/>
      <c r="C25" s="25"/>
      <c r="D25" s="25"/>
      <c r="E25" s="34">
        <f>E24*150/52</f>
        <v>204.57692307692304</v>
      </c>
      <c r="F25" s="34">
        <f>F24*150/52</f>
        <v>169.24038461538464</v>
      </c>
      <c r="G25" s="34">
        <f>G24*150/52</f>
        <v>198.05769230769232</v>
      </c>
      <c r="H25" s="34">
        <f>H24*150/52</f>
        <v>205.09615384615384</v>
      </c>
      <c r="I25" s="53">
        <f>SUM(E25:H25)/4</f>
        <v>194.24278846153845</v>
      </c>
      <c r="K25" s="64">
        <f>I25*52</f>
        <v>10100.625</v>
      </c>
      <c r="L25" s="63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54"/>
      <c r="K26" s="63"/>
      <c r="L26" s="63"/>
    </row>
    <row r="27" spans="1:12" ht="12.75">
      <c r="A27" s="25" t="s">
        <v>37</v>
      </c>
      <c r="B27" s="25"/>
      <c r="C27" s="25"/>
      <c r="D27" s="25"/>
      <c r="E27" s="34">
        <v>175.45</v>
      </c>
      <c r="F27" s="34">
        <v>148.82</v>
      </c>
      <c r="G27" s="34">
        <v>173.69</v>
      </c>
      <c r="H27" s="34">
        <v>178.49</v>
      </c>
      <c r="I27" s="53">
        <f>SUM(E27:H27)/4</f>
        <v>169.1125</v>
      </c>
      <c r="K27" s="64">
        <f>I27*52</f>
        <v>8793.85</v>
      </c>
      <c r="L27" s="63"/>
    </row>
    <row r="28" spans="1:12" ht="12.75">
      <c r="A28" s="25"/>
      <c r="B28" s="25"/>
      <c r="C28" s="25"/>
      <c r="D28" s="25"/>
      <c r="E28" s="34"/>
      <c r="F28" s="34"/>
      <c r="G28" s="34"/>
      <c r="H28" s="34"/>
      <c r="I28" s="54"/>
      <c r="K28" s="63"/>
      <c r="L28" s="63"/>
    </row>
    <row r="29" spans="1:12" ht="12.75">
      <c r="A29" s="35" t="s">
        <v>48</v>
      </c>
      <c r="B29" s="25"/>
      <c r="C29" s="25"/>
      <c r="D29" s="25"/>
      <c r="E29" s="34"/>
      <c r="F29" s="34"/>
      <c r="G29" s="34"/>
      <c r="H29" s="34"/>
      <c r="I29" s="54"/>
      <c r="K29" s="63"/>
      <c r="L29" s="63"/>
    </row>
    <row r="30" spans="1:12" ht="12.75">
      <c r="A30" s="25" t="s">
        <v>37</v>
      </c>
      <c r="B30" s="25"/>
      <c r="C30" s="25"/>
      <c r="D30" s="25"/>
      <c r="E30" s="34">
        <v>178.63</v>
      </c>
      <c r="F30" s="34">
        <v>152.71</v>
      </c>
      <c r="G30" s="34">
        <v>180.78</v>
      </c>
      <c r="H30" s="34">
        <v>183.82</v>
      </c>
      <c r="I30" s="53">
        <f>SUM(E30:H30)/4</f>
        <v>173.985</v>
      </c>
      <c r="K30" s="64">
        <f>I30*52</f>
        <v>9047.220000000001</v>
      </c>
      <c r="L30" s="63"/>
    </row>
    <row r="31" spans="1:12" ht="12.75">
      <c r="A31" s="25"/>
      <c r="B31" s="25"/>
      <c r="C31" s="25"/>
      <c r="D31" s="25"/>
      <c r="E31" s="25"/>
      <c r="F31" s="25"/>
      <c r="G31" s="25"/>
      <c r="H31" s="25"/>
      <c r="I31" s="54"/>
      <c r="K31" s="63"/>
      <c r="L31" s="63"/>
    </row>
    <row r="32" spans="1:12" ht="12.75">
      <c r="A32" s="50" t="s">
        <v>49</v>
      </c>
      <c r="B32" s="51"/>
      <c r="C32" s="51"/>
      <c r="D32" s="51"/>
      <c r="E32" s="52"/>
      <c r="F32" s="52"/>
      <c r="G32" s="52"/>
      <c r="H32" s="52"/>
      <c r="I32" s="55"/>
      <c r="K32" s="63"/>
      <c r="L32" s="63"/>
    </row>
    <row r="33" spans="1:12" ht="12.75">
      <c r="A33" s="51" t="s">
        <v>37</v>
      </c>
      <c r="B33" s="51"/>
      <c r="C33" s="51"/>
      <c r="D33" s="51"/>
      <c r="E33" s="52">
        <v>184.79</v>
      </c>
      <c r="F33" s="52">
        <v>162.41</v>
      </c>
      <c r="G33" s="52">
        <v>182.19</v>
      </c>
      <c r="H33" s="52">
        <v>180.76</v>
      </c>
      <c r="I33" s="56">
        <f>SUM(E33:H33)/4</f>
        <v>177.5375</v>
      </c>
      <c r="K33" s="64">
        <f>I33*52</f>
        <v>9231.949999999999</v>
      </c>
      <c r="L33" s="63"/>
    </row>
    <row r="34" spans="1:12" ht="12.75">
      <c r="A34" s="25"/>
      <c r="B34" s="25"/>
      <c r="C34" s="25"/>
      <c r="D34" s="25"/>
      <c r="E34" s="25"/>
      <c r="F34" s="25"/>
      <c r="G34" s="25"/>
      <c r="H34" s="25"/>
      <c r="I34" s="25"/>
      <c r="K34" s="63"/>
      <c r="L34" s="63"/>
    </row>
    <row r="35" spans="1:15" ht="12.75">
      <c r="A35" t="s">
        <v>32</v>
      </c>
      <c r="K35" s="63"/>
      <c r="L35" s="63"/>
      <c r="N35" s="26"/>
      <c r="O35" s="27"/>
    </row>
    <row r="36" spans="1:15" ht="12.75">
      <c r="A36" t="s">
        <v>41</v>
      </c>
      <c r="K36" s="64">
        <f>N36+(O36*15)</f>
        <v>9632</v>
      </c>
      <c r="L36" s="63"/>
      <c r="N36" s="28">
        <v>7457</v>
      </c>
      <c r="O36" s="29">
        <v>145</v>
      </c>
    </row>
    <row r="37" spans="11:15" ht="12.75">
      <c r="K37" s="63"/>
      <c r="L37" s="63"/>
      <c r="N37" s="30"/>
      <c r="O37" s="3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6" max="8" width="9.28125" style="0" bestFit="1" customWidth="1"/>
    <col min="10" max="10" width="3.8515625" style="0" customWidth="1"/>
    <col min="13" max="13" width="3.8515625" style="0" customWidth="1"/>
  </cols>
  <sheetData>
    <row r="1" ht="15.75">
      <c r="A1" s="1" t="s">
        <v>30</v>
      </c>
    </row>
    <row r="3" ht="12.75">
      <c r="A3" t="s">
        <v>31</v>
      </c>
    </row>
    <row r="4" ht="12.75">
      <c r="A4" t="s">
        <v>34</v>
      </c>
    </row>
    <row r="5" ht="12.75">
      <c r="B5" t="s">
        <v>28</v>
      </c>
    </row>
    <row r="6" ht="12.75">
      <c r="C6" s="25" t="s">
        <v>29</v>
      </c>
    </row>
    <row r="7" ht="12.75">
      <c r="B7" t="s">
        <v>26</v>
      </c>
    </row>
    <row r="8" ht="12.75">
      <c r="B8" t="s">
        <v>16</v>
      </c>
    </row>
    <row r="9" spans="11:15" ht="12.75">
      <c r="K9" s="48" t="s">
        <v>42</v>
      </c>
      <c r="L9" s="49"/>
      <c r="N9" s="38" t="s">
        <v>44</v>
      </c>
      <c r="O9" s="39"/>
    </row>
    <row r="10" spans="1:15" ht="12.75">
      <c r="A10" s="23" t="s">
        <v>39</v>
      </c>
      <c r="E10" s="4"/>
      <c r="F10" s="3"/>
      <c r="G10" s="5" t="s">
        <v>24</v>
      </c>
      <c r="H10" s="5"/>
      <c r="I10" s="6"/>
      <c r="J10" s="2"/>
      <c r="K10" s="36" t="s">
        <v>43</v>
      </c>
      <c r="L10" s="37"/>
      <c r="N10" s="40" t="s">
        <v>45</v>
      </c>
      <c r="O10" s="41"/>
    </row>
    <row r="11" spans="1:15" ht="12.75">
      <c r="A11" t="s">
        <v>38</v>
      </c>
      <c r="E11" s="7" t="s">
        <v>5</v>
      </c>
      <c r="F11" s="7" t="s">
        <v>11</v>
      </c>
      <c r="G11" s="7" t="s">
        <v>5</v>
      </c>
      <c r="H11" s="7" t="s">
        <v>14</v>
      </c>
      <c r="I11" s="7"/>
      <c r="J11" s="2"/>
      <c r="K11" s="11" t="s">
        <v>18</v>
      </c>
      <c r="L11" s="11" t="s">
        <v>21</v>
      </c>
      <c r="N11" s="42" t="s">
        <v>18</v>
      </c>
      <c r="O11" s="42" t="s">
        <v>21</v>
      </c>
    </row>
    <row r="12" spans="5:15" ht="12.75">
      <c r="E12" s="8" t="s">
        <v>6</v>
      </c>
      <c r="F12" s="8" t="s">
        <v>12</v>
      </c>
      <c r="G12" s="8" t="s">
        <v>13</v>
      </c>
      <c r="H12" s="8" t="s">
        <v>15</v>
      </c>
      <c r="I12" s="9" t="s">
        <v>17</v>
      </c>
      <c r="J12" s="2"/>
      <c r="K12" s="12" t="s">
        <v>19</v>
      </c>
      <c r="L12" s="12" t="s">
        <v>22</v>
      </c>
      <c r="N12" s="9" t="s">
        <v>19</v>
      </c>
      <c r="O12" s="9" t="s">
        <v>22</v>
      </c>
    </row>
    <row r="13" spans="1:15" ht="12.75">
      <c r="A13" t="s">
        <v>4</v>
      </c>
      <c r="E13" s="13"/>
      <c r="F13" s="13"/>
      <c r="G13" s="13"/>
      <c r="H13" s="13"/>
      <c r="I13" s="13"/>
      <c r="K13" s="18"/>
      <c r="L13" s="18"/>
      <c r="N13" s="43"/>
      <c r="O13" s="43"/>
    </row>
    <row r="14" spans="2:15" ht="12.75">
      <c r="B14" t="s">
        <v>1</v>
      </c>
      <c r="E14" s="16">
        <v>40.5</v>
      </c>
      <c r="F14" s="16">
        <v>32.3</v>
      </c>
      <c r="G14" s="16">
        <v>39.84</v>
      </c>
      <c r="H14" s="16">
        <v>40.43</v>
      </c>
      <c r="I14" s="16">
        <f>SUM(E14:H14)/4</f>
        <v>38.2675</v>
      </c>
      <c r="K14" s="19"/>
      <c r="L14" s="19"/>
      <c r="N14" s="44"/>
      <c r="O14" s="44"/>
    </row>
    <row r="15" spans="2:15" ht="12.75">
      <c r="B15" t="s">
        <v>2</v>
      </c>
      <c r="E15" s="16">
        <v>6.89</v>
      </c>
      <c r="F15" s="16">
        <v>5.49</v>
      </c>
      <c r="G15" s="16">
        <v>6.9</v>
      </c>
      <c r="H15" s="16">
        <v>6.98</v>
      </c>
      <c r="I15" s="16">
        <f>SUM(E15:H15)/4</f>
        <v>6.565</v>
      </c>
      <c r="K15" s="19"/>
      <c r="L15" s="19"/>
      <c r="N15" s="44"/>
      <c r="O15" s="44"/>
    </row>
    <row r="16" spans="2:15" ht="12.75">
      <c r="B16" t="s">
        <v>33</v>
      </c>
      <c r="E16" s="16">
        <v>8.06</v>
      </c>
      <c r="F16" s="16">
        <v>6.75</v>
      </c>
      <c r="G16" s="16">
        <v>6.78</v>
      </c>
      <c r="H16" s="16">
        <v>6.91</v>
      </c>
      <c r="I16" s="16">
        <f>SUM(E16:H16)/4</f>
        <v>7.125</v>
      </c>
      <c r="K16" s="19"/>
      <c r="L16" s="19"/>
      <c r="N16" s="44"/>
      <c r="O16" s="44"/>
    </row>
    <row r="17" spans="5:15" ht="12.75">
      <c r="E17" s="16"/>
      <c r="F17" s="24"/>
      <c r="G17" s="16"/>
      <c r="H17" s="16"/>
      <c r="I17" s="17">
        <f>SUM(I14:I16)</f>
        <v>51.957499999999996</v>
      </c>
      <c r="K17" s="20">
        <f>I17*15000/100</f>
        <v>7793.624999999999</v>
      </c>
      <c r="L17" s="19"/>
      <c r="N17" s="45">
        <f>'2003'!K17</f>
        <v>7131.75</v>
      </c>
      <c r="O17" s="44"/>
    </row>
    <row r="18" spans="1:15" ht="12.75">
      <c r="A18" t="s">
        <v>7</v>
      </c>
      <c r="E18" s="16"/>
      <c r="F18" s="16"/>
      <c r="G18" s="16"/>
      <c r="H18" s="16"/>
      <c r="I18" s="16"/>
      <c r="K18" s="19"/>
      <c r="L18" s="19"/>
      <c r="N18" s="44"/>
      <c r="O18" s="44"/>
    </row>
    <row r="19" spans="2:15" ht="12.75">
      <c r="B19" t="s">
        <v>8</v>
      </c>
      <c r="E19" s="16">
        <v>10.58</v>
      </c>
      <c r="F19" s="16">
        <v>10.05</v>
      </c>
      <c r="G19" s="16">
        <v>11.64</v>
      </c>
      <c r="H19" s="16">
        <v>12.17</v>
      </c>
      <c r="I19" s="16">
        <f>SUM(E19:H19)/4</f>
        <v>11.110000000000001</v>
      </c>
      <c r="K19" s="19"/>
      <c r="L19" s="19"/>
      <c r="N19" s="44"/>
      <c r="O19" s="44"/>
    </row>
    <row r="20" spans="2:15" ht="12.75">
      <c r="B20" t="s">
        <v>9</v>
      </c>
      <c r="E20" s="16">
        <v>2.07</v>
      </c>
      <c r="F20" s="16">
        <v>1.38</v>
      </c>
      <c r="G20" s="16">
        <v>1.38</v>
      </c>
      <c r="H20" s="16">
        <v>1.84</v>
      </c>
      <c r="I20" s="16">
        <f>SUM(E20:H20)/4</f>
        <v>1.6675</v>
      </c>
      <c r="K20" s="19"/>
      <c r="L20" s="19"/>
      <c r="N20" s="44"/>
      <c r="O20" s="44"/>
    </row>
    <row r="21" spans="2:15" ht="12.75">
      <c r="B21" t="s">
        <v>10</v>
      </c>
      <c r="E21" s="16">
        <v>2.82</v>
      </c>
      <c r="F21" s="16">
        <v>2.7</v>
      </c>
      <c r="G21" s="16">
        <v>2.12</v>
      </c>
      <c r="H21" s="16">
        <v>2.77</v>
      </c>
      <c r="I21" s="16">
        <f>SUM(E21:H21)/4</f>
        <v>2.6025</v>
      </c>
      <c r="K21" s="19"/>
      <c r="L21" s="19"/>
      <c r="N21" s="44"/>
      <c r="O21" s="44"/>
    </row>
    <row r="22" spans="5:15" ht="12.75">
      <c r="E22" s="32"/>
      <c r="F22" s="32"/>
      <c r="G22" s="32"/>
      <c r="H22" s="32"/>
      <c r="I22" s="17">
        <f>SUM(I19:I21)</f>
        <v>15.380000000000003</v>
      </c>
      <c r="K22" s="21"/>
      <c r="L22" s="22">
        <f>I22/100*1000</f>
        <v>153.8</v>
      </c>
      <c r="N22" s="46"/>
      <c r="O22" s="47">
        <f>'2003'!L22</f>
        <v>144.725</v>
      </c>
    </row>
    <row r="24" spans="1:9" ht="12.75">
      <c r="A24" s="25" t="s">
        <v>27</v>
      </c>
      <c r="B24" s="25"/>
      <c r="C24" s="25"/>
      <c r="D24" s="25"/>
      <c r="E24" s="33">
        <f>SUM(E14:E21)</f>
        <v>70.91999999999999</v>
      </c>
      <c r="F24" s="33">
        <f>SUM(F14:F21)</f>
        <v>58.67000000000001</v>
      </c>
      <c r="G24" s="33">
        <f>SUM(G14:G21)</f>
        <v>68.66</v>
      </c>
      <c r="H24" s="33">
        <f>SUM(H14:H21)</f>
        <v>71.1</v>
      </c>
      <c r="I24" s="33"/>
    </row>
    <row r="25" spans="1:9" ht="12.75">
      <c r="A25" s="25" t="s">
        <v>36</v>
      </c>
      <c r="B25" s="25"/>
      <c r="C25" s="25"/>
      <c r="D25" s="25"/>
      <c r="E25" s="34">
        <f>E24*150/52</f>
        <v>204.57692307692304</v>
      </c>
      <c r="F25" s="34">
        <f>F24*150/52</f>
        <v>169.24038461538464</v>
      </c>
      <c r="G25" s="34">
        <f>G24*150/52</f>
        <v>198.05769230769232</v>
      </c>
      <c r="H25" s="34">
        <f>H24*150/52</f>
        <v>205.09615384615384</v>
      </c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 t="s">
        <v>37</v>
      </c>
      <c r="B27" s="25"/>
      <c r="C27" s="25"/>
      <c r="D27" s="25"/>
      <c r="E27" s="34">
        <v>175.45</v>
      </c>
      <c r="F27" s="34">
        <v>148.82</v>
      </c>
      <c r="G27" s="34">
        <v>173.69</v>
      </c>
      <c r="H27" s="34">
        <v>178.49</v>
      </c>
      <c r="I27" s="25"/>
    </row>
    <row r="28" spans="1:9" ht="12.75">
      <c r="A28" s="25"/>
      <c r="B28" s="25"/>
      <c r="C28" s="25"/>
      <c r="D28" s="25"/>
      <c r="E28" s="34"/>
      <c r="F28" s="34"/>
      <c r="G28" s="34"/>
      <c r="H28" s="34"/>
      <c r="I28" s="25"/>
    </row>
    <row r="29" spans="1:9" ht="12.75">
      <c r="A29" s="35" t="s">
        <v>40</v>
      </c>
      <c r="B29" s="25"/>
      <c r="C29" s="25"/>
      <c r="D29" s="25"/>
      <c r="E29" s="34"/>
      <c r="F29" s="34"/>
      <c r="G29" s="34"/>
      <c r="H29" s="34"/>
      <c r="I29" s="25"/>
    </row>
    <row r="30" spans="1:9" ht="12.75">
      <c r="A30" s="25" t="s">
        <v>37</v>
      </c>
      <c r="B30" s="25"/>
      <c r="C30" s="25"/>
      <c r="D30" s="25"/>
      <c r="E30" s="34">
        <v>178.63</v>
      </c>
      <c r="F30" s="34">
        <v>152.71</v>
      </c>
      <c r="G30" s="34">
        <v>180.78</v>
      </c>
      <c r="H30" s="34">
        <v>183.82</v>
      </c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12" ht="12.75">
      <c r="A33" t="s">
        <v>32</v>
      </c>
      <c r="K33" s="26"/>
      <c r="L33" s="27"/>
    </row>
    <row r="34" spans="1:12" ht="12.75">
      <c r="A34" t="s">
        <v>41</v>
      </c>
      <c r="K34" s="28">
        <v>7457</v>
      </c>
      <c r="L34" s="29">
        <v>145</v>
      </c>
    </row>
    <row r="35" spans="11:12" ht="12.75">
      <c r="K35" s="30"/>
      <c r="L35" s="3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     &amp;A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cjm</cp:lastModifiedBy>
  <cp:lastPrinted>2011-07-29T02:34:33Z</cp:lastPrinted>
  <dcterms:created xsi:type="dcterms:W3CDTF">2002-09-12T22:25:48Z</dcterms:created>
  <dcterms:modified xsi:type="dcterms:W3CDTF">2011-08-26T06:04:34Z</dcterms:modified>
  <cp:category/>
  <cp:version/>
  <cp:contentType/>
  <cp:contentStatus/>
</cp:coreProperties>
</file>